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updateLinks="never" codeName="ThisWorkbook" defaultThemeVersion="124226"/>
  <mc:AlternateContent xmlns:mc="http://schemas.openxmlformats.org/markup-compatibility/2006">
    <mc:Choice Requires="x15">
      <x15ac:absPath xmlns:x15ac="http://schemas.microsoft.com/office/spreadsheetml/2010/11/ac" url="D:\Users\ranka.grozdanic\Desktop\Budzet i rebalans budzeta\2025 Rebalans\"/>
    </mc:Choice>
  </mc:AlternateContent>
  <xr:revisionPtr revIDLastSave="0" documentId="13_ncr:1_{DC7F211E-49CA-4C57-8147-54B7FAB58562}" xr6:coauthVersionLast="47" xr6:coauthVersionMax="47" xr10:uidLastSave="{00000000-0000-0000-0000-000000000000}"/>
  <bookViews>
    <workbookView xWindow="-120" yWindow="-120" windowWidth="29040" windowHeight="15720" tabRatio="886" firstSheet="8" activeTab="10" xr2:uid="{00000000-000D-0000-FFFF-FFFF00000000}"/>
  </bookViews>
  <sheets>
    <sheet name="Cental Budget - hwy" sheetId="34" state="hidden" r:id="rId1"/>
    <sheet name="Public Expenditure -hwy" sheetId="35" state="hidden" r:id="rId2"/>
    <sheet name="PRIMICI" sheetId="29" state="hidden" r:id="rId3"/>
    <sheet name="DEFICIT Tabela" sheetId="30" state="hidden" r:id="rId4"/>
    <sheet name="MasterSheet" sheetId="13" state="hidden" r:id="rId5"/>
    <sheet name="Sheet1" sheetId="31" state="hidden" r:id="rId6"/>
    <sheet name="Sheet2" sheetId="36" state="hidden" r:id="rId7"/>
    <sheet name="Sheet3" sheetId="37" state="hidden" r:id="rId8"/>
    <sheet name="PRIHODI ekon klas" sheetId="41" r:id="rId9"/>
    <sheet name="RASHODI ekon klas" sheetId="42" r:id="rId10"/>
    <sheet name="Clan 14 ZBFO" sheetId="39" r:id="rId11"/>
    <sheet name="Clan 27 ZFLO" sheetId="40" r:id="rId12"/>
  </sheets>
  <definedNames>
    <definedName name="_Order1" hidden="1">0</definedName>
    <definedName name="_Order2" hidden="1">0</definedName>
    <definedName name="_Regression_Out" localSheetId="0" hidden="1">#REF!</definedName>
    <definedName name="_Regression_Out" localSheetId="3" hidden="1">#REF!</definedName>
    <definedName name="_Regression_Out" localSheetId="2" hidden="1">#REF!</definedName>
    <definedName name="_Regression_Out" localSheetId="1" hidden="1">#REF!</definedName>
    <definedName name="_Regression_Out" hidden="1">#REF!</definedName>
    <definedName name="_Regression_X" localSheetId="0" hidden="1">#REF!</definedName>
    <definedName name="_Regression_X" localSheetId="3" hidden="1">#REF!</definedName>
    <definedName name="_Regression_X" localSheetId="2" hidden="1">#REF!</definedName>
    <definedName name="_Regression_X" localSheetId="1" hidden="1">#REF!</definedName>
    <definedName name="_Regression_X" hidden="1">#REF!</definedName>
    <definedName name="_Regression_Y" localSheetId="0" hidden="1">#REF!</definedName>
    <definedName name="_Regression_Y" localSheetId="1" hidden="1">#REF!</definedName>
    <definedName name="_Regression_Y" hidden="1">#REF!</definedName>
    <definedName name="a" hidden="1">#REF!</definedName>
    <definedName name="Z_05AB59A7_9F04_4F70_A17E_8EF60EF35C7C_.wvu.PrintArea" localSheetId="0" hidden="1">'Cental Budget - hwy'!$B$13:$O$87</definedName>
    <definedName name="Z_05AB59A7_9F04_4F70_A17E_8EF60EF35C7C_.wvu.PrintArea" localSheetId="1" hidden="1">'Public Expenditure -hwy'!$B$13:$O$74</definedName>
    <definedName name="Z_636A372C_EE02_4B23_8381_E3299ADF8816_.wvu.Cols" localSheetId="0" hidden="1">'Cental Budget - hwy'!#REF!</definedName>
    <definedName name="Z_636A372C_EE02_4B23_8381_E3299ADF8816_.wvu.Cols" localSheetId="1" hidden="1">'Public Expenditure -hwy'!#REF!</definedName>
    <definedName name="Z_7AC1CC92_093E_4DA9_98F8_470D5521A68C_.wvu.Rows" localSheetId="0" hidden="1">'Cental Budget - hwy'!#REF!,'Cental Budget - hwy'!#REF!,'Cental Budget - hwy'!#REF!,'Cental Budget - hwy'!#REF!</definedName>
    <definedName name="Z_7AC1CC92_093E_4DA9_98F8_470D5521A68C_.wvu.Rows" localSheetId="1" hidden="1">'Public Expenditure -hwy'!#REF!,'Public Expenditure -hwy'!#REF!,'Public Expenditure -hwy'!#REF!,'Public Expenditure -hwy'!#REF!</definedName>
    <definedName name="Z_A32CDCC2_9D7B_41FA_91EC_562A88521235_.wvu.Cols" localSheetId="0" hidden="1">'Cental Budget - hwy'!#REF!,'Cental Budget - hwy'!#REF!</definedName>
    <definedName name="Z_A32CDCC2_9D7B_41FA_91EC_562A88521235_.wvu.Cols" localSheetId="1" hidden="1">'Public Expenditure -hwy'!#REF!,'Public Expenditure -hwy'!#REF!</definedName>
    <definedName name="Z_F37FAB72_D883_4CEB_A5EC_0FA851AD2DC3_.wvu.Cols" localSheetId="0" hidden="1">'Cental Budget - hwy'!#REF!</definedName>
    <definedName name="Z_F37FAB72_D883_4CEB_A5EC_0FA851AD2DC3_.wvu.Cols" localSheetId="1" hidden="1">'Public Expenditure -hwy'!#REF!</definedName>
  </definedNames>
  <calcPr calcId="191029" concurrentCalc="0"/>
  <customWorkbookViews>
    <customWorkbookView name="iva.vukovic - Personal View" guid="{E484E83A-8AE1-4ACE-A5D4-7D98A52A9B4B}" mergeInterval="0" personalView="1" maximized="1" windowWidth="1276" windowHeight="856" tabRatio="796" activeSheetId="3"/>
    <customWorkbookView name="pc - Personal View" guid="{5F444141-AB98-4370-9413-F1F0A45DC16B}" mergeInterval="0" personalView="1" maximized="1" windowWidth="1276" windowHeight="874" activeSheetId="5"/>
    <customWorkbookView name="RATKO - Personal View" guid="{A4D59F75-8091-4878-A19C-E6F7EFCC98D0}" mergeInterval="0" personalView="1" maximized="1" windowWidth="1276" windowHeight="850" activeSheetId="5"/>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41" l="1"/>
  <c r="E90" i="39"/>
  <c r="F90" i="39"/>
  <c r="E46" i="39"/>
  <c r="E26" i="40"/>
  <c r="D81" i="41"/>
  <c r="E20" i="40"/>
  <c r="E38" i="40"/>
  <c r="D143" i="42"/>
  <c r="F33" i="40"/>
  <c r="F23" i="40"/>
  <c r="E36" i="40"/>
  <c r="D136" i="42"/>
  <c r="D133" i="42"/>
  <c r="F22" i="40"/>
  <c r="F32" i="40"/>
  <c r="F34" i="40"/>
  <c r="F20" i="40"/>
  <c r="E18" i="40"/>
  <c r="F18" i="40"/>
  <c r="F17" i="40"/>
  <c r="E16" i="40"/>
  <c r="F16" i="40"/>
  <c r="E15" i="40"/>
  <c r="F15" i="40"/>
  <c r="E14" i="40"/>
  <c r="F14" i="40"/>
  <c r="D132" i="42"/>
  <c r="F27" i="40"/>
  <c r="D37" i="41"/>
  <c r="E13" i="40"/>
  <c r="F13" i="40"/>
  <c r="D31" i="41"/>
  <c r="E12" i="40"/>
  <c r="F12" i="40"/>
  <c r="D53" i="41"/>
  <c r="E21" i="40"/>
  <c r="F21" i="40"/>
  <c r="D49" i="41"/>
  <c r="E19" i="40"/>
  <c r="D15" i="41"/>
  <c r="D23" i="41"/>
  <c r="E10" i="40"/>
  <c r="F10" i="40"/>
  <c r="F19" i="40"/>
  <c r="E11" i="40"/>
  <c r="F11" i="40"/>
  <c r="D30" i="41"/>
  <c r="D9" i="41"/>
  <c r="D77" i="41"/>
  <c r="D62" i="41"/>
  <c r="F25" i="40"/>
  <c r="E89" i="39"/>
  <c r="E79" i="39"/>
  <c r="F79" i="39"/>
  <c r="E78" i="39"/>
  <c r="F78" i="39"/>
  <c r="E77" i="39"/>
  <c r="F77" i="39"/>
  <c r="E85" i="39"/>
  <c r="E84" i="39"/>
  <c r="F84" i="39"/>
  <c r="E43" i="39"/>
  <c r="F43" i="39"/>
  <c r="E42" i="39"/>
  <c r="F42" i="39"/>
  <c r="E41" i="39"/>
  <c r="F41" i="39"/>
  <c r="E40" i="39"/>
  <c r="F40" i="39"/>
  <c r="E39" i="39"/>
  <c r="F39" i="39"/>
  <c r="E37" i="39"/>
  <c r="F37" i="39"/>
  <c r="E36" i="39"/>
  <c r="F36" i="39"/>
  <c r="E35" i="39"/>
  <c r="F35" i="39"/>
  <c r="E34" i="39"/>
  <c r="F34" i="39"/>
  <c r="E33" i="39"/>
  <c r="F33" i="39"/>
  <c r="E32" i="39"/>
  <c r="F32" i="39"/>
  <c r="E31" i="39"/>
  <c r="F31" i="39"/>
  <c r="E30" i="39"/>
  <c r="F30" i="39"/>
  <c r="E29" i="39"/>
  <c r="F29" i="39"/>
  <c r="E27" i="39"/>
  <c r="F27" i="39"/>
  <c r="E26" i="39"/>
  <c r="F26" i="39"/>
  <c r="E25" i="39"/>
  <c r="F25" i="39"/>
  <c r="E24" i="39"/>
  <c r="F24" i="39"/>
  <c r="E23" i="39"/>
  <c r="F23" i="39"/>
  <c r="E22" i="39"/>
  <c r="F22" i="39"/>
  <c r="E20" i="39"/>
  <c r="F20" i="39"/>
  <c r="E19" i="39"/>
  <c r="F19" i="39"/>
  <c r="E18" i="39"/>
  <c r="F18" i="39"/>
  <c r="E17" i="39"/>
  <c r="F17" i="39"/>
  <c r="E14" i="39"/>
  <c r="F14" i="39"/>
  <c r="D142" i="42"/>
  <c r="F38" i="40"/>
  <c r="D70" i="41"/>
  <c r="E87" i="39"/>
  <c r="F87" i="39"/>
  <c r="D66" i="41"/>
  <c r="E15" i="39"/>
  <c r="F15" i="39"/>
  <c r="E11" i="39"/>
  <c r="F11" i="39"/>
  <c r="E9" i="39"/>
  <c r="F9" i="39"/>
  <c r="E12" i="39"/>
  <c r="F12" i="39"/>
  <c r="E13" i="39"/>
  <c r="F13" i="39"/>
  <c r="E10" i="39"/>
  <c r="F10" i="39"/>
  <c r="E8" i="39"/>
  <c r="F8" i="39"/>
  <c r="F72" i="39"/>
  <c r="D90" i="41"/>
  <c r="E45" i="39"/>
  <c r="E71" i="39"/>
  <c r="F71" i="39"/>
  <c r="F46" i="39"/>
  <c r="D69" i="41"/>
  <c r="F45" i="39"/>
  <c r="E38" i="39"/>
  <c r="F38" i="39"/>
  <c r="E28" i="39"/>
  <c r="F28" i="39"/>
  <c r="E16" i="39"/>
  <c r="F16" i="39"/>
  <c r="E21" i="39"/>
  <c r="F21" i="39"/>
  <c r="D76" i="41"/>
  <c r="E7" i="39"/>
  <c r="E76" i="39"/>
  <c r="D61" i="41"/>
  <c r="E86" i="39"/>
  <c r="F86" i="39"/>
  <c r="E44" i="39"/>
  <c r="F44" i="39"/>
  <c r="F26" i="40"/>
  <c r="E24" i="40"/>
  <c r="F24" i="40"/>
  <c r="F7" i="39"/>
  <c r="F76" i="39"/>
  <c r="E6" i="39"/>
  <c r="F6" i="39"/>
  <c r="D6" i="41"/>
  <c r="E8" i="40"/>
  <c r="D89" i="41"/>
  <c r="D18" i="41"/>
  <c r="E9" i="40"/>
  <c r="F9" i="40"/>
  <c r="E7" i="40"/>
  <c r="E6" i="40"/>
  <c r="F8" i="40"/>
  <c r="D5" i="41"/>
  <c r="D7" i="42"/>
  <c r="D13" i="42"/>
  <c r="E51" i="39"/>
  <c r="D38" i="42"/>
  <c r="D45" i="42"/>
  <c r="D65" i="42"/>
  <c r="E60" i="39"/>
  <c r="D80" i="42"/>
  <c r="E62" i="39"/>
  <c r="F62" i="39"/>
  <c r="D106" i="42"/>
  <c r="D28" i="42"/>
  <c r="D42" i="42"/>
  <c r="D49" i="42"/>
  <c r="D88" i="42"/>
  <c r="E63" i="39"/>
  <c r="F63" i="39"/>
  <c r="D139" i="42"/>
  <c r="D146" i="42"/>
  <c r="E69" i="39"/>
  <c r="F69" i="39"/>
  <c r="E70" i="39"/>
  <c r="F70" i="39"/>
  <c r="E37" i="40"/>
  <c r="F7" i="40"/>
  <c r="E67" i="39"/>
  <c r="F67" i="39"/>
  <c r="E57" i="39"/>
  <c r="F57" i="39"/>
  <c r="E56" i="39"/>
  <c r="F56" i="39"/>
  <c r="E55" i="39"/>
  <c r="F55" i="39"/>
  <c r="E54" i="39"/>
  <c r="F54" i="39"/>
  <c r="E53" i="39"/>
  <c r="F53" i="39"/>
  <c r="F60" i="39"/>
  <c r="E50" i="39"/>
  <c r="F51" i="39"/>
  <c r="D4" i="41"/>
  <c r="D114" i="42"/>
  <c r="D113" i="42"/>
  <c r="D54" i="42"/>
  <c r="D74" i="42"/>
  <c r="E61" i="39"/>
  <c r="F61" i="39"/>
  <c r="D21" i="42"/>
  <c r="D91" i="42"/>
  <c r="E64" i="39"/>
  <c r="F64" i="39"/>
  <c r="D125" i="42"/>
  <c r="D96" i="42"/>
  <c r="E66" i="39"/>
  <c r="F37" i="40"/>
  <c r="E35" i="40"/>
  <c r="F6" i="40"/>
  <c r="D131" i="42"/>
  <c r="F36" i="40"/>
  <c r="E68" i="39"/>
  <c r="F68" i="39"/>
  <c r="E58" i="39"/>
  <c r="F58" i="39"/>
  <c r="E52" i="39"/>
  <c r="F50" i="39"/>
  <c r="E59" i="39"/>
  <c r="D124" i="42"/>
  <c r="E80" i="39"/>
  <c r="F80" i="39"/>
  <c r="D95" i="42"/>
  <c r="E31" i="40"/>
  <c r="F31" i="40"/>
  <c r="D64" i="42"/>
  <c r="E30" i="40"/>
  <c r="F30" i="40"/>
  <c r="D6" i="42"/>
  <c r="E29" i="40"/>
  <c r="D5" i="42"/>
  <c r="F35" i="40"/>
  <c r="E49" i="39"/>
  <c r="F49" i="39"/>
  <c r="F59" i="39"/>
  <c r="F52" i="39"/>
  <c r="F66" i="39"/>
  <c r="E65" i="39"/>
  <c r="F65" i="39"/>
  <c r="F29" i="40"/>
  <c r="E28" i="40"/>
  <c r="E39" i="40"/>
  <c r="E41" i="40"/>
  <c r="E48" i="39"/>
  <c r="E47" i="39"/>
  <c r="F39" i="40"/>
  <c r="F28" i="40"/>
  <c r="F47" i="39"/>
  <c r="E73" i="39"/>
  <c r="E93" i="39"/>
  <c r="F48" i="39"/>
  <c r="G79" i="36"/>
  <c r="H79" i="36"/>
  <c r="J78" i="36"/>
  <c r="I78" i="36"/>
  <c r="H78" i="36"/>
  <c r="F78" i="36"/>
  <c r="D78" i="36"/>
  <c r="J77" i="36"/>
  <c r="I77" i="36"/>
  <c r="H77" i="36"/>
  <c r="F77" i="36"/>
  <c r="D77" i="36"/>
  <c r="J76" i="36"/>
  <c r="I76" i="36"/>
  <c r="H76" i="36"/>
  <c r="F76" i="36"/>
  <c r="D76" i="36"/>
  <c r="G75" i="36"/>
  <c r="H74" i="36"/>
  <c r="J73" i="36"/>
  <c r="I73" i="36"/>
  <c r="H73" i="36"/>
  <c r="F73" i="36"/>
  <c r="D73" i="36"/>
  <c r="J72" i="36"/>
  <c r="I72" i="36"/>
  <c r="H72" i="36"/>
  <c r="F72" i="36"/>
  <c r="D72" i="36"/>
  <c r="J71" i="36"/>
  <c r="I71" i="36"/>
  <c r="H71" i="36"/>
  <c r="F71" i="36"/>
  <c r="D71" i="36"/>
  <c r="G70" i="36"/>
  <c r="H70" i="36"/>
  <c r="E70" i="36"/>
  <c r="F70" i="36"/>
  <c r="C70" i="36"/>
  <c r="D70" i="36"/>
  <c r="J67" i="36"/>
  <c r="I67" i="36"/>
  <c r="H67" i="36"/>
  <c r="F67" i="36"/>
  <c r="D67" i="36"/>
  <c r="J66" i="36"/>
  <c r="I66" i="36"/>
  <c r="H66" i="36"/>
  <c r="F66" i="36"/>
  <c r="D66" i="36"/>
  <c r="J65" i="36"/>
  <c r="I65" i="36"/>
  <c r="H65" i="36"/>
  <c r="F65" i="36"/>
  <c r="D65" i="36"/>
  <c r="J64" i="36"/>
  <c r="I64" i="36"/>
  <c r="H64" i="36"/>
  <c r="F64" i="36"/>
  <c r="D64" i="36"/>
  <c r="J63" i="36"/>
  <c r="I63" i="36"/>
  <c r="H63" i="36"/>
  <c r="F63" i="36"/>
  <c r="D63" i="36"/>
  <c r="J62" i="36"/>
  <c r="I62" i="36"/>
  <c r="H62" i="36"/>
  <c r="F62" i="36"/>
  <c r="D62" i="36"/>
  <c r="J61" i="36"/>
  <c r="I61" i="36"/>
  <c r="H61" i="36"/>
  <c r="F61" i="36"/>
  <c r="D61" i="36"/>
  <c r="G60" i="36"/>
  <c r="H60" i="36"/>
  <c r="E60" i="36"/>
  <c r="J60" i="36"/>
  <c r="C60" i="36"/>
  <c r="D60" i="36"/>
  <c r="J59" i="36"/>
  <c r="I59" i="36"/>
  <c r="H59" i="36"/>
  <c r="F59" i="36"/>
  <c r="D59" i="36"/>
  <c r="J58" i="36"/>
  <c r="I58" i="36"/>
  <c r="H58" i="36"/>
  <c r="F58" i="36"/>
  <c r="D58" i="36"/>
  <c r="J57" i="36"/>
  <c r="I57" i="36"/>
  <c r="H57" i="36"/>
  <c r="F57" i="36"/>
  <c r="D57" i="36"/>
  <c r="J56" i="36"/>
  <c r="I56" i="36"/>
  <c r="H56" i="36"/>
  <c r="F56" i="36"/>
  <c r="D56" i="36"/>
  <c r="J55" i="36"/>
  <c r="I55" i="36"/>
  <c r="H55" i="36"/>
  <c r="F55" i="36"/>
  <c r="D55" i="36"/>
  <c r="G54" i="36"/>
  <c r="H54" i="36"/>
  <c r="E54" i="36"/>
  <c r="C54" i="36"/>
  <c r="D54" i="36"/>
  <c r="J53" i="36"/>
  <c r="I53" i="36"/>
  <c r="H53" i="36"/>
  <c r="F53" i="36"/>
  <c r="D53" i="36"/>
  <c r="J52" i="36"/>
  <c r="I52" i="36"/>
  <c r="H52" i="36"/>
  <c r="F52" i="36"/>
  <c r="D52" i="36"/>
  <c r="J51" i="36"/>
  <c r="I51" i="36"/>
  <c r="H51" i="36"/>
  <c r="F51" i="36"/>
  <c r="D51" i="36"/>
  <c r="J50" i="36"/>
  <c r="I50" i="36"/>
  <c r="H50" i="36"/>
  <c r="F50" i="36"/>
  <c r="D50" i="36"/>
  <c r="J49" i="36"/>
  <c r="I49" i="36"/>
  <c r="H49" i="36"/>
  <c r="F49" i="36"/>
  <c r="D49" i="36"/>
  <c r="J48" i="36"/>
  <c r="I48" i="36"/>
  <c r="H48" i="36"/>
  <c r="F48" i="36"/>
  <c r="D48" i="36"/>
  <c r="J47" i="36"/>
  <c r="I47" i="36"/>
  <c r="H47" i="36"/>
  <c r="F47" i="36"/>
  <c r="D47" i="36"/>
  <c r="J46" i="36"/>
  <c r="I46" i="36"/>
  <c r="H46" i="36"/>
  <c r="F46" i="36"/>
  <c r="D46" i="36"/>
  <c r="J45" i="36"/>
  <c r="I45" i="36"/>
  <c r="H45" i="36"/>
  <c r="F45" i="36"/>
  <c r="D45" i="36"/>
  <c r="J44" i="36"/>
  <c r="I44" i="36"/>
  <c r="H44" i="36"/>
  <c r="F44" i="36"/>
  <c r="D44" i="36"/>
  <c r="G43" i="36"/>
  <c r="E43" i="36"/>
  <c r="F43" i="36"/>
  <c r="C43" i="36"/>
  <c r="D43" i="36"/>
  <c r="J40" i="36"/>
  <c r="I40" i="36"/>
  <c r="H40" i="36"/>
  <c r="F40" i="36"/>
  <c r="D40" i="36"/>
  <c r="J39" i="36"/>
  <c r="I39" i="36"/>
  <c r="H39" i="36"/>
  <c r="F39" i="36"/>
  <c r="D39" i="36"/>
  <c r="J38" i="36"/>
  <c r="I38" i="36"/>
  <c r="H38" i="36"/>
  <c r="F38" i="36"/>
  <c r="D38" i="36"/>
  <c r="J37" i="36"/>
  <c r="I37" i="36"/>
  <c r="H37" i="36"/>
  <c r="F37" i="36"/>
  <c r="D37" i="36"/>
  <c r="J36" i="36"/>
  <c r="I36" i="36"/>
  <c r="H36" i="36"/>
  <c r="F36" i="36"/>
  <c r="D36" i="36"/>
  <c r="J35" i="36"/>
  <c r="I35" i="36"/>
  <c r="H35" i="36"/>
  <c r="F35" i="36"/>
  <c r="D35" i="36"/>
  <c r="G34" i="36"/>
  <c r="H34" i="36"/>
  <c r="E34" i="36"/>
  <c r="J34" i="36"/>
  <c r="D34" i="36"/>
  <c r="C34" i="36"/>
  <c r="J33" i="36"/>
  <c r="I33" i="36"/>
  <c r="H33" i="36"/>
  <c r="F33" i="36"/>
  <c r="D33" i="36"/>
  <c r="J32" i="36"/>
  <c r="I32" i="36"/>
  <c r="H32" i="36"/>
  <c r="F32" i="36"/>
  <c r="D32" i="36"/>
  <c r="J31" i="36"/>
  <c r="I31" i="36"/>
  <c r="H31" i="36"/>
  <c r="F31" i="36"/>
  <c r="D31" i="36"/>
  <c r="J30" i="36"/>
  <c r="I30" i="36"/>
  <c r="H30" i="36"/>
  <c r="F30" i="36"/>
  <c r="D30" i="36"/>
  <c r="J29" i="36"/>
  <c r="I29" i="36"/>
  <c r="H29" i="36"/>
  <c r="F29" i="36"/>
  <c r="D29" i="36"/>
  <c r="J28" i="36"/>
  <c r="I28" i="36"/>
  <c r="H28" i="36"/>
  <c r="F28" i="36"/>
  <c r="D28" i="36"/>
  <c r="G27" i="36"/>
  <c r="J27" i="36"/>
  <c r="E27" i="36"/>
  <c r="F27" i="36"/>
  <c r="C27" i="36"/>
  <c r="D27" i="36"/>
  <c r="J26" i="36"/>
  <c r="I26" i="36"/>
  <c r="H26" i="36"/>
  <c r="F26" i="36"/>
  <c r="D26" i="36"/>
  <c r="J25" i="36"/>
  <c r="I25" i="36"/>
  <c r="H25" i="36"/>
  <c r="F25" i="36"/>
  <c r="D25" i="36"/>
  <c r="J24" i="36"/>
  <c r="I24" i="36"/>
  <c r="H24" i="36"/>
  <c r="F24" i="36"/>
  <c r="D24" i="36"/>
  <c r="J23" i="36"/>
  <c r="I23" i="36"/>
  <c r="H23" i="36"/>
  <c r="F23" i="36"/>
  <c r="D23" i="36"/>
  <c r="G22" i="36"/>
  <c r="J22" i="36"/>
  <c r="E22" i="36"/>
  <c r="F22" i="36"/>
  <c r="C22" i="36"/>
  <c r="D22" i="36"/>
  <c r="J21" i="36"/>
  <c r="I21" i="36"/>
  <c r="H21" i="36"/>
  <c r="F21" i="36"/>
  <c r="D21" i="36"/>
  <c r="J20" i="36"/>
  <c r="I20" i="36"/>
  <c r="H20" i="36"/>
  <c r="F20" i="36"/>
  <c r="D20" i="36"/>
  <c r="J19" i="36"/>
  <c r="I19" i="36"/>
  <c r="H19" i="36"/>
  <c r="F19" i="36"/>
  <c r="D19" i="36"/>
  <c r="L18" i="36"/>
  <c r="J18" i="36"/>
  <c r="I18" i="36"/>
  <c r="H18" i="36"/>
  <c r="F18" i="36"/>
  <c r="D18" i="36"/>
  <c r="G17" i="36"/>
  <c r="E17" i="36"/>
  <c r="E8" i="36"/>
  <c r="D17" i="36"/>
  <c r="C17" i="36"/>
  <c r="J16" i="36"/>
  <c r="I16" i="36"/>
  <c r="H16" i="36"/>
  <c r="F16" i="36"/>
  <c r="D16" i="36"/>
  <c r="J15" i="36"/>
  <c r="I15" i="36"/>
  <c r="H15" i="36"/>
  <c r="F15" i="36"/>
  <c r="D15" i="36"/>
  <c r="J14" i="36"/>
  <c r="I14" i="36"/>
  <c r="H14" i="36"/>
  <c r="F14" i="36"/>
  <c r="D14" i="36"/>
  <c r="M13" i="36"/>
  <c r="L13" i="36"/>
  <c r="J13" i="36"/>
  <c r="I13" i="36"/>
  <c r="H13" i="36"/>
  <c r="F13" i="36"/>
  <c r="D13" i="36"/>
  <c r="J12" i="36"/>
  <c r="I12" i="36"/>
  <c r="H12" i="36"/>
  <c r="F12" i="36"/>
  <c r="D12" i="36"/>
  <c r="J11" i="36"/>
  <c r="I11" i="36"/>
  <c r="H11" i="36"/>
  <c r="F11" i="36"/>
  <c r="D11" i="36"/>
  <c r="J10" i="36"/>
  <c r="I10" i="36"/>
  <c r="H10" i="36"/>
  <c r="F10" i="36"/>
  <c r="D10" i="36"/>
  <c r="G9" i="36"/>
  <c r="I9" i="36"/>
  <c r="E9" i="36"/>
  <c r="F9" i="36"/>
  <c r="C9" i="36"/>
  <c r="D9" i="36"/>
  <c r="D7" i="36"/>
  <c r="C7" i="36"/>
  <c r="P7" i="31"/>
  <c r="P6" i="31"/>
  <c r="P5" i="31"/>
  <c r="E22" i="30"/>
  <c r="E21" i="30"/>
  <c r="E20" i="30"/>
  <c r="E19" i="30"/>
  <c r="E15" i="30"/>
  <c r="E14" i="30"/>
  <c r="E13" i="30"/>
  <c r="E9" i="30"/>
  <c r="D58" i="29"/>
  <c r="D57" i="29"/>
  <c r="D56" i="29"/>
  <c r="D55" i="29"/>
  <c r="D53" i="29"/>
  <c r="D52" i="29"/>
  <c r="D37" i="29"/>
  <c r="D36" i="29"/>
  <c r="C75" i="35"/>
  <c r="AL73" i="35"/>
  <c r="AM73" i="35"/>
  <c r="AJ73" i="35"/>
  <c r="AK73" i="35"/>
  <c r="AI73" i="35"/>
  <c r="AG73" i="35"/>
  <c r="AE73" i="35"/>
  <c r="AF73" i="35"/>
  <c r="AD73" i="35"/>
  <c r="AB73" i="35"/>
  <c r="Z73" i="35"/>
  <c r="X73" i="35"/>
  <c r="W73" i="35"/>
  <c r="V73" i="35"/>
  <c r="T73" i="35"/>
  <c r="U73" i="35"/>
  <c r="R73" i="35"/>
  <c r="S73" i="35"/>
  <c r="P73" i="35"/>
  <c r="Q73" i="35"/>
  <c r="N73" i="35"/>
  <c r="O73" i="35"/>
  <c r="L73" i="35"/>
  <c r="M73" i="35"/>
  <c r="J73" i="35"/>
  <c r="K73" i="35"/>
  <c r="H73" i="35"/>
  <c r="I73" i="35"/>
  <c r="F73" i="35"/>
  <c r="G73" i="35"/>
  <c r="D73" i="35"/>
  <c r="E73" i="35"/>
  <c r="AL72" i="35"/>
  <c r="AM72" i="35"/>
  <c r="AJ72" i="35"/>
  <c r="AK72" i="35"/>
  <c r="AI72" i="35"/>
  <c r="AG72" i="35"/>
  <c r="AE72" i="35"/>
  <c r="AF72" i="35"/>
  <c r="AD72" i="35"/>
  <c r="AB72" i="35"/>
  <c r="W72" i="35"/>
  <c r="V72" i="35"/>
  <c r="T72" i="35"/>
  <c r="U72" i="35"/>
  <c r="R72" i="35"/>
  <c r="S72" i="35"/>
  <c r="P72" i="35"/>
  <c r="Q72" i="35"/>
  <c r="N72" i="35"/>
  <c r="O72" i="35"/>
  <c r="L72" i="35"/>
  <c r="M72" i="35"/>
  <c r="J72" i="35"/>
  <c r="K72" i="35"/>
  <c r="H72" i="35"/>
  <c r="I72" i="35"/>
  <c r="F72" i="35"/>
  <c r="G72" i="35"/>
  <c r="D72" i="35"/>
  <c r="E72" i="35"/>
  <c r="AL71" i="35"/>
  <c r="AM71" i="35"/>
  <c r="AJ71" i="35"/>
  <c r="AK71" i="35"/>
  <c r="AI71" i="35"/>
  <c r="AG71" i="35"/>
  <c r="AE71" i="35"/>
  <c r="AF71" i="35"/>
  <c r="AD71" i="35"/>
  <c r="AB71" i="35"/>
  <c r="Z71" i="35"/>
  <c r="X71" i="35"/>
  <c r="W71" i="35"/>
  <c r="V71" i="35"/>
  <c r="T71" i="35"/>
  <c r="U71" i="35"/>
  <c r="R71" i="35"/>
  <c r="S71" i="35"/>
  <c r="P71" i="35"/>
  <c r="Q71" i="35"/>
  <c r="N71" i="35"/>
  <c r="O71" i="35"/>
  <c r="L71" i="35"/>
  <c r="M71" i="35"/>
  <c r="J71" i="35"/>
  <c r="K71" i="35"/>
  <c r="H71" i="35"/>
  <c r="I71" i="35"/>
  <c r="F71" i="35"/>
  <c r="G71" i="35"/>
  <c r="D71" i="35"/>
  <c r="E71" i="35"/>
  <c r="AL70" i="35"/>
  <c r="AM70" i="35"/>
  <c r="AJ70" i="35"/>
  <c r="AK70" i="35"/>
  <c r="AI70" i="35"/>
  <c r="AG70" i="35"/>
  <c r="AE70" i="35"/>
  <c r="AF70" i="35"/>
  <c r="AD70" i="35"/>
  <c r="AB70" i="35"/>
  <c r="Z70" i="35"/>
  <c r="X70" i="35"/>
  <c r="W70" i="35"/>
  <c r="V70" i="35"/>
  <c r="T70" i="35"/>
  <c r="R70" i="35"/>
  <c r="P70" i="35"/>
  <c r="N70" i="35"/>
  <c r="L70" i="35"/>
  <c r="J70" i="35"/>
  <c r="H70" i="35"/>
  <c r="F70" i="35"/>
  <c r="D70" i="35"/>
  <c r="AH69" i="35"/>
  <c r="AH68" i="35"/>
  <c r="AL67" i="35"/>
  <c r="AM67" i="35"/>
  <c r="AJ67" i="35"/>
  <c r="AK67" i="35"/>
  <c r="AI67" i="35"/>
  <c r="AG67" i="35"/>
  <c r="AE67" i="35"/>
  <c r="AF67" i="35"/>
  <c r="AD67" i="35"/>
  <c r="AB67" i="35"/>
  <c r="Z67" i="35"/>
  <c r="X67" i="35"/>
  <c r="W67" i="35"/>
  <c r="V67" i="35"/>
  <c r="T67" i="35"/>
  <c r="U67" i="35"/>
  <c r="R67" i="35"/>
  <c r="S67" i="35"/>
  <c r="P67" i="35"/>
  <c r="Q67" i="35"/>
  <c r="N67" i="35"/>
  <c r="O67" i="35"/>
  <c r="L67" i="35"/>
  <c r="M67" i="35"/>
  <c r="J67" i="35"/>
  <c r="K67" i="35"/>
  <c r="H67" i="35"/>
  <c r="I67" i="35"/>
  <c r="F67" i="35"/>
  <c r="G67" i="35"/>
  <c r="D67" i="35"/>
  <c r="E67" i="35"/>
  <c r="AL66" i="35"/>
  <c r="AM66" i="35"/>
  <c r="AJ66" i="35"/>
  <c r="AK66" i="35"/>
  <c r="AI66" i="35"/>
  <c r="AG66" i="35"/>
  <c r="AE66" i="35"/>
  <c r="AF66" i="35"/>
  <c r="AD66" i="35"/>
  <c r="AB66" i="35"/>
  <c r="Z66" i="35"/>
  <c r="X66" i="35"/>
  <c r="W66" i="35"/>
  <c r="V66" i="35"/>
  <c r="T66" i="35"/>
  <c r="U66" i="35"/>
  <c r="R66" i="35"/>
  <c r="S66" i="35"/>
  <c r="P66" i="35"/>
  <c r="Q66" i="35"/>
  <c r="N66" i="35"/>
  <c r="O66" i="35"/>
  <c r="L66" i="35"/>
  <c r="M66" i="35"/>
  <c r="J66" i="35"/>
  <c r="K66" i="35"/>
  <c r="H66" i="35"/>
  <c r="I66" i="35"/>
  <c r="F66" i="35"/>
  <c r="G66" i="35"/>
  <c r="D66" i="35"/>
  <c r="E66" i="35"/>
  <c r="AL65" i="35"/>
  <c r="AM65" i="35"/>
  <c r="AJ65" i="35"/>
  <c r="AK65" i="35"/>
  <c r="AI65" i="35"/>
  <c r="AG65" i="35"/>
  <c r="AE65" i="35"/>
  <c r="AD65" i="35"/>
  <c r="AB65" i="35"/>
  <c r="Z65" i="35"/>
  <c r="X65" i="35"/>
  <c r="W65" i="35"/>
  <c r="V65" i="35"/>
  <c r="T65" i="35"/>
  <c r="U65" i="35"/>
  <c r="R65" i="35"/>
  <c r="P65" i="35"/>
  <c r="Q65" i="35"/>
  <c r="N65" i="35"/>
  <c r="L65" i="35"/>
  <c r="M65" i="35"/>
  <c r="J65" i="35"/>
  <c r="H65" i="35"/>
  <c r="I65" i="35"/>
  <c r="F65" i="35"/>
  <c r="D65" i="35"/>
  <c r="E65" i="35"/>
  <c r="AH64" i="35"/>
  <c r="AH63" i="35"/>
  <c r="AH62" i="35"/>
  <c r="AL61" i="35"/>
  <c r="AM61" i="35"/>
  <c r="AJ61" i="35"/>
  <c r="AK61" i="35"/>
  <c r="AI61" i="35"/>
  <c r="AH61" i="35"/>
  <c r="AG61" i="35"/>
  <c r="AE61" i="35"/>
  <c r="AF61" i="35"/>
  <c r="AD61" i="35"/>
  <c r="AC61" i="35"/>
  <c r="AB61" i="35"/>
  <c r="Z61" i="35"/>
  <c r="X61" i="35"/>
  <c r="W61" i="35"/>
  <c r="V61" i="35"/>
  <c r="T61" i="35"/>
  <c r="U61" i="35"/>
  <c r="R61" i="35"/>
  <c r="S61" i="35"/>
  <c r="P61" i="35"/>
  <c r="Q61" i="35"/>
  <c r="N61" i="35"/>
  <c r="O61" i="35"/>
  <c r="L61" i="35"/>
  <c r="M61" i="35"/>
  <c r="J61" i="35"/>
  <c r="K61" i="35"/>
  <c r="H61" i="35"/>
  <c r="I61" i="35"/>
  <c r="F61" i="35"/>
  <c r="G61" i="35"/>
  <c r="D61" i="35"/>
  <c r="E61" i="35"/>
  <c r="AL60" i="35"/>
  <c r="AM60" i="35"/>
  <c r="AJ60" i="35"/>
  <c r="AK60" i="35"/>
  <c r="AI60" i="35"/>
  <c r="AG60" i="35"/>
  <c r="AE60" i="35"/>
  <c r="AF60" i="35"/>
  <c r="AD60" i="35"/>
  <c r="AB60" i="35"/>
  <c r="Z60" i="35"/>
  <c r="W60" i="35"/>
  <c r="V60" i="35"/>
  <c r="T60" i="35"/>
  <c r="U60" i="35"/>
  <c r="R60" i="35"/>
  <c r="S60" i="35"/>
  <c r="P60" i="35"/>
  <c r="Q60" i="35"/>
  <c r="N60" i="35"/>
  <c r="O60" i="35"/>
  <c r="L60" i="35"/>
  <c r="M60" i="35"/>
  <c r="J60" i="35"/>
  <c r="K60" i="35"/>
  <c r="H60" i="35"/>
  <c r="I60" i="35"/>
  <c r="F60" i="35"/>
  <c r="G60" i="35"/>
  <c r="D60" i="35"/>
  <c r="E60" i="35"/>
  <c r="AL59" i="35"/>
  <c r="AM59" i="35"/>
  <c r="AJ59" i="35"/>
  <c r="AK59" i="35"/>
  <c r="AI59" i="35"/>
  <c r="AG59" i="35"/>
  <c r="AD59" i="35"/>
  <c r="AB59" i="35"/>
  <c r="Z59" i="35"/>
  <c r="X59" i="35"/>
  <c r="W59" i="35"/>
  <c r="V59" i="35"/>
  <c r="T59" i="35"/>
  <c r="U59" i="35"/>
  <c r="R59" i="35"/>
  <c r="S59" i="35"/>
  <c r="P59" i="35"/>
  <c r="Q59" i="35"/>
  <c r="N59" i="35"/>
  <c r="O59" i="35"/>
  <c r="L59" i="35"/>
  <c r="M59" i="35"/>
  <c r="J59" i="35"/>
  <c r="K59" i="35"/>
  <c r="H59" i="35"/>
  <c r="I59" i="35"/>
  <c r="F59" i="35"/>
  <c r="G59" i="35"/>
  <c r="D59" i="35"/>
  <c r="E59" i="35"/>
  <c r="AL58" i="35"/>
  <c r="AM58" i="35"/>
  <c r="AJ58" i="35"/>
  <c r="AK58" i="35"/>
  <c r="AI58" i="35"/>
  <c r="AG58" i="35"/>
  <c r="AE58" i="35"/>
  <c r="AF58" i="35"/>
  <c r="AD58" i="35"/>
  <c r="AB58" i="35"/>
  <c r="Z58" i="35"/>
  <c r="X58" i="35"/>
  <c r="W58" i="35"/>
  <c r="V58" i="35"/>
  <c r="T58" i="35"/>
  <c r="U58" i="35"/>
  <c r="R58" i="35"/>
  <c r="S58" i="35"/>
  <c r="P58" i="35"/>
  <c r="Q58" i="35"/>
  <c r="N58" i="35"/>
  <c r="O58" i="35"/>
  <c r="L58" i="35"/>
  <c r="M58" i="35"/>
  <c r="J58" i="35"/>
  <c r="K58" i="35"/>
  <c r="H58" i="35"/>
  <c r="I58" i="35"/>
  <c r="F58" i="35"/>
  <c r="G58" i="35"/>
  <c r="D58" i="35"/>
  <c r="E58" i="35"/>
  <c r="AL57" i="35"/>
  <c r="AM57" i="35"/>
  <c r="AJ57" i="35"/>
  <c r="AK57" i="35"/>
  <c r="AI57" i="35"/>
  <c r="AG57" i="35"/>
  <c r="AE57" i="35"/>
  <c r="AF57" i="35"/>
  <c r="AD57" i="35"/>
  <c r="AB57" i="35"/>
  <c r="Z57" i="35"/>
  <c r="X57" i="35"/>
  <c r="W57" i="35"/>
  <c r="V57" i="35"/>
  <c r="T57" i="35"/>
  <c r="U57" i="35"/>
  <c r="R57" i="35"/>
  <c r="S57" i="35"/>
  <c r="P57" i="35"/>
  <c r="Q57" i="35"/>
  <c r="N57" i="35"/>
  <c r="O57" i="35"/>
  <c r="L57" i="35"/>
  <c r="M57" i="35"/>
  <c r="J57" i="35"/>
  <c r="K57" i="35"/>
  <c r="H57" i="35"/>
  <c r="I57" i="35"/>
  <c r="F57" i="35"/>
  <c r="G57" i="35"/>
  <c r="D57" i="35"/>
  <c r="E57" i="35"/>
  <c r="AL56" i="35"/>
  <c r="AJ56" i="35"/>
  <c r="AK56" i="35"/>
  <c r="AI56" i="35"/>
  <c r="AG56" i="35"/>
  <c r="AE56" i="35"/>
  <c r="AF56" i="35"/>
  <c r="AD56" i="35"/>
  <c r="AB56" i="35"/>
  <c r="Z56" i="35"/>
  <c r="X56" i="35"/>
  <c r="W56" i="35"/>
  <c r="V56" i="35"/>
  <c r="T56" i="35"/>
  <c r="U56" i="35"/>
  <c r="R56" i="35"/>
  <c r="S56" i="35"/>
  <c r="P56" i="35"/>
  <c r="Q56" i="35"/>
  <c r="N56" i="35"/>
  <c r="O56" i="35"/>
  <c r="L56" i="35"/>
  <c r="M56" i="35"/>
  <c r="J56" i="35"/>
  <c r="K56" i="35"/>
  <c r="H56" i="35"/>
  <c r="I56" i="35"/>
  <c r="F56" i="35"/>
  <c r="G56" i="35"/>
  <c r="D56" i="35"/>
  <c r="E56" i="35"/>
  <c r="AL55" i="35"/>
  <c r="AM55" i="35"/>
  <c r="AJ55" i="35"/>
  <c r="AK55" i="35"/>
  <c r="AI55" i="35"/>
  <c r="AG55" i="35"/>
  <c r="AE55" i="35"/>
  <c r="AF55" i="35"/>
  <c r="AD55" i="35"/>
  <c r="AB55" i="35"/>
  <c r="Z55" i="35"/>
  <c r="X55" i="35"/>
  <c r="W55" i="35"/>
  <c r="V55" i="35"/>
  <c r="T55" i="35"/>
  <c r="U55" i="35"/>
  <c r="R55" i="35"/>
  <c r="S55" i="35"/>
  <c r="P55" i="35"/>
  <c r="Q55" i="35"/>
  <c r="N55" i="35"/>
  <c r="O55" i="35"/>
  <c r="L55" i="35"/>
  <c r="M55" i="35"/>
  <c r="J55" i="35"/>
  <c r="K55" i="35"/>
  <c r="H55" i="35"/>
  <c r="I55" i="35"/>
  <c r="F55" i="35"/>
  <c r="G55" i="35"/>
  <c r="AL53" i="35"/>
  <c r="AM53" i="35"/>
  <c r="AJ53" i="35"/>
  <c r="AK53" i="35"/>
  <c r="AI53" i="35"/>
  <c r="AG53" i="35"/>
  <c r="AE53" i="35"/>
  <c r="AF53" i="35"/>
  <c r="AD53" i="35"/>
  <c r="AB53" i="35"/>
  <c r="Z53" i="35"/>
  <c r="X53" i="35"/>
  <c r="W53" i="35"/>
  <c r="V53" i="35"/>
  <c r="T53" i="35"/>
  <c r="U53" i="35"/>
  <c r="R53" i="35"/>
  <c r="S53" i="35"/>
  <c r="P53" i="35"/>
  <c r="Q53" i="35"/>
  <c r="N53" i="35"/>
  <c r="O53" i="35"/>
  <c r="L53" i="35"/>
  <c r="M53" i="35"/>
  <c r="J53" i="35"/>
  <c r="K53" i="35"/>
  <c r="H53" i="35"/>
  <c r="I53" i="35"/>
  <c r="F53" i="35"/>
  <c r="G53" i="35"/>
  <c r="D53" i="35"/>
  <c r="E53" i="35"/>
  <c r="AL52" i="35"/>
  <c r="AM52" i="35"/>
  <c r="AJ52" i="35"/>
  <c r="AK52" i="35"/>
  <c r="AI52" i="35"/>
  <c r="AG52" i="35"/>
  <c r="AE52" i="35"/>
  <c r="AF52" i="35"/>
  <c r="AD52" i="35"/>
  <c r="AB52" i="35"/>
  <c r="Z52" i="35"/>
  <c r="X52" i="35"/>
  <c r="W52" i="35"/>
  <c r="V52" i="35"/>
  <c r="T52" i="35"/>
  <c r="U52" i="35"/>
  <c r="R52" i="35"/>
  <c r="S52" i="35"/>
  <c r="P52" i="35"/>
  <c r="Q52" i="35"/>
  <c r="N52" i="35"/>
  <c r="O52" i="35"/>
  <c r="L52" i="35"/>
  <c r="M52" i="35"/>
  <c r="J52" i="35"/>
  <c r="K52" i="35"/>
  <c r="H52" i="35"/>
  <c r="I52" i="35"/>
  <c r="F52" i="35"/>
  <c r="G52" i="35"/>
  <c r="D52" i="35"/>
  <c r="E52" i="35"/>
  <c r="AL51" i="35"/>
  <c r="AM51" i="35"/>
  <c r="AJ51" i="35"/>
  <c r="AK51" i="35"/>
  <c r="AI51" i="35"/>
  <c r="AG51" i="35"/>
  <c r="AE51" i="35"/>
  <c r="AF51" i="35"/>
  <c r="AT21" i="35"/>
  <c r="AD51" i="35"/>
  <c r="AB51" i="35"/>
  <c r="Z51" i="35"/>
  <c r="X51" i="35"/>
  <c r="W51" i="35"/>
  <c r="V51" i="35"/>
  <c r="T51" i="35"/>
  <c r="U51" i="35"/>
  <c r="AR21" i="35"/>
  <c r="R51" i="35"/>
  <c r="S51" i="35"/>
  <c r="AQ21" i="35"/>
  <c r="P51" i="35"/>
  <c r="Q51" i="35"/>
  <c r="N51" i="35"/>
  <c r="O51" i="35"/>
  <c r="L51" i="35"/>
  <c r="M51" i="35"/>
  <c r="J51" i="35"/>
  <c r="K51" i="35"/>
  <c r="H51" i="35"/>
  <c r="I51" i="35"/>
  <c r="F51" i="35"/>
  <c r="G51" i="35"/>
  <c r="D51" i="35"/>
  <c r="E51" i="35"/>
  <c r="AL50" i="35"/>
  <c r="AM50" i="35"/>
  <c r="AJ50" i="35"/>
  <c r="AK50" i="35"/>
  <c r="AI50" i="35"/>
  <c r="AG50" i="35"/>
  <c r="AE50" i="35"/>
  <c r="AF50" i="35"/>
  <c r="AD50" i="35"/>
  <c r="AB50" i="35"/>
  <c r="Z50" i="35"/>
  <c r="X50" i="35"/>
  <c r="W50" i="35"/>
  <c r="V50" i="35"/>
  <c r="T50" i="35"/>
  <c r="U50" i="35"/>
  <c r="R50" i="35"/>
  <c r="S50" i="35"/>
  <c r="P50" i="35"/>
  <c r="Q50" i="35"/>
  <c r="N50" i="35"/>
  <c r="O50" i="35"/>
  <c r="L50" i="35"/>
  <c r="M50" i="35"/>
  <c r="J50" i="35"/>
  <c r="K50" i="35"/>
  <c r="H50" i="35"/>
  <c r="I50" i="35"/>
  <c r="F50" i="35"/>
  <c r="G50" i="35"/>
  <c r="D50" i="35"/>
  <c r="E50" i="35"/>
  <c r="AL49" i="35"/>
  <c r="AM49" i="35"/>
  <c r="AJ49" i="35"/>
  <c r="AK49" i="35"/>
  <c r="AI49" i="35"/>
  <c r="AG49" i="35"/>
  <c r="AE49" i="35"/>
  <c r="AF49" i="35"/>
  <c r="AD49" i="35"/>
  <c r="AB49" i="35"/>
  <c r="Z49" i="35"/>
  <c r="X49" i="35"/>
  <c r="W49" i="35"/>
  <c r="V49" i="35"/>
  <c r="T49" i="35"/>
  <c r="U49" i="35"/>
  <c r="R49" i="35"/>
  <c r="S49" i="35"/>
  <c r="P49" i="35"/>
  <c r="Q49" i="35"/>
  <c r="N49" i="35"/>
  <c r="O49" i="35"/>
  <c r="L49" i="35"/>
  <c r="M49" i="35"/>
  <c r="J49" i="35"/>
  <c r="K49" i="35"/>
  <c r="H49" i="35"/>
  <c r="I49" i="35"/>
  <c r="F49" i="35"/>
  <c r="G49" i="35"/>
  <c r="D49" i="35"/>
  <c r="E49" i="35"/>
  <c r="AI48" i="35"/>
  <c r="AG48" i="35"/>
  <c r="AH48" i="35"/>
  <c r="AE48" i="35"/>
  <c r="AF48" i="35"/>
  <c r="AD48" i="35"/>
  <c r="AB48" i="35"/>
  <c r="AC48" i="35"/>
  <c r="Z48" i="35"/>
  <c r="X48" i="35"/>
  <c r="W48" i="35"/>
  <c r="V48" i="35"/>
  <c r="T48" i="35"/>
  <c r="U48" i="35"/>
  <c r="R48" i="35"/>
  <c r="S48" i="35"/>
  <c r="P48" i="35"/>
  <c r="Q48" i="35"/>
  <c r="N48" i="35"/>
  <c r="O48" i="35"/>
  <c r="L48" i="35"/>
  <c r="M48" i="35"/>
  <c r="J48" i="35"/>
  <c r="K48" i="35"/>
  <c r="H48" i="35"/>
  <c r="I48" i="35"/>
  <c r="F48" i="35"/>
  <c r="G48" i="35"/>
  <c r="D48" i="35"/>
  <c r="E48" i="35"/>
  <c r="AL47" i="35"/>
  <c r="AM47" i="35"/>
  <c r="AJ47" i="35"/>
  <c r="AK47" i="35"/>
  <c r="AI47" i="35"/>
  <c r="AH47" i="35"/>
  <c r="AG47" i="35"/>
  <c r="AE47" i="35"/>
  <c r="AF47" i="35"/>
  <c r="AD47" i="35"/>
  <c r="AB47" i="35"/>
  <c r="Z47" i="35"/>
  <c r="X47" i="35"/>
  <c r="W47" i="35"/>
  <c r="V47" i="35"/>
  <c r="T47" i="35"/>
  <c r="U47" i="35"/>
  <c r="R47" i="35"/>
  <c r="S47" i="35"/>
  <c r="P47" i="35"/>
  <c r="Q47" i="35"/>
  <c r="N47" i="35"/>
  <c r="O47" i="35"/>
  <c r="L47" i="35"/>
  <c r="M47" i="35"/>
  <c r="J47" i="35"/>
  <c r="K47" i="35"/>
  <c r="H47" i="35"/>
  <c r="I47" i="35"/>
  <c r="F47" i="35"/>
  <c r="G47" i="35"/>
  <c r="D47" i="35"/>
  <c r="E47" i="35"/>
  <c r="AL46" i="35"/>
  <c r="AM46" i="35"/>
  <c r="AJ46" i="35"/>
  <c r="AK46" i="35"/>
  <c r="AI46" i="35"/>
  <c r="AG46" i="35"/>
  <c r="AE46" i="35"/>
  <c r="AF46" i="35"/>
  <c r="AD46" i="35"/>
  <c r="AB46" i="35"/>
  <c r="Z46" i="35"/>
  <c r="X46" i="35"/>
  <c r="W46" i="35"/>
  <c r="V46" i="35"/>
  <c r="T46" i="35"/>
  <c r="U46" i="35"/>
  <c r="R46" i="35"/>
  <c r="S46" i="35"/>
  <c r="P46" i="35"/>
  <c r="Q46" i="35"/>
  <c r="N46" i="35"/>
  <c r="O46" i="35"/>
  <c r="L46" i="35"/>
  <c r="M46" i="35"/>
  <c r="J46" i="35"/>
  <c r="K46" i="35"/>
  <c r="H46" i="35"/>
  <c r="I46" i="35"/>
  <c r="F46" i="35"/>
  <c r="G46" i="35"/>
  <c r="D46" i="35"/>
  <c r="E46" i="35"/>
  <c r="AL45" i="35"/>
  <c r="AM45" i="35"/>
  <c r="AJ45" i="35"/>
  <c r="AK45" i="35"/>
  <c r="AI45" i="35"/>
  <c r="AG45" i="35"/>
  <c r="AE45" i="35"/>
  <c r="AF45" i="35"/>
  <c r="AD45" i="35"/>
  <c r="AB45" i="35"/>
  <c r="Z45" i="35"/>
  <c r="X45" i="35"/>
  <c r="W45" i="35"/>
  <c r="V45" i="35"/>
  <c r="T45" i="35"/>
  <c r="U45" i="35"/>
  <c r="R45" i="35"/>
  <c r="S45" i="35"/>
  <c r="P45" i="35"/>
  <c r="Q45" i="35"/>
  <c r="N45" i="35"/>
  <c r="O45" i="35"/>
  <c r="L45" i="35"/>
  <c r="M45" i="35"/>
  <c r="J45" i="35"/>
  <c r="K45" i="35"/>
  <c r="H45" i="35"/>
  <c r="I45" i="35"/>
  <c r="F45" i="35"/>
  <c r="G45" i="35"/>
  <c r="D45" i="35"/>
  <c r="E45" i="35"/>
  <c r="AL44" i="35"/>
  <c r="AM44" i="35"/>
  <c r="AJ44" i="35"/>
  <c r="AK44" i="35"/>
  <c r="AI44" i="35"/>
  <c r="AG44" i="35"/>
  <c r="AE44" i="35"/>
  <c r="AF44" i="35"/>
  <c r="AD44" i="35"/>
  <c r="AB44" i="35"/>
  <c r="Z44" i="35"/>
  <c r="X44" i="35"/>
  <c r="W44" i="35"/>
  <c r="V44" i="35"/>
  <c r="T44" i="35"/>
  <c r="U44" i="35"/>
  <c r="R44" i="35"/>
  <c r="S44" i="35"/>
  <c r="P44" i="35"/>
  <c r="Q44" i="35"/>
  <c r="N44" i="35"/>
  <c r="O44" i="35"/>
  <c r="L44" i="35"/>
  <c r="M44" i="35"/>
  <c r="J44" i="35"/>
  <c r="K44" i="35"/>
  <c r="H44" i="35"/>
  <c r="I44" i="35"/>
  <c r="F44" i="35"/>
  <c r="G44" i="35"/>
  <c r="D44" i="35"/>
  <c r="E44" i="35"/>
  <c r="AL43" i="35"/>
  <c r="AM43" i="35"/>
  <c r="AJ43" i="35"/>
  <c r="AK43" i="35"/>
  <c r="AI43" i="35"/>
  <c r="AG43" i="35"/>
  <c r="AE43" i="35"/>
  <c r="AF43" i="35"/>
  <c r="AD43" i="35"/>
  <c r="AC43" i="35"/>
  <c r="AB43" i="35"/>
  <c r="Z43" i="35"/>
  <c r="X43" i="35"/>
  <c r="W43" i="35"/>
  <c r="V43" i="35"/>
  <c r="T43" i="35"/>
  <c r="U43" i="35"/>
  <c r="R43" i="35"/>
  <c r="S43" i="35"/>
  <c r="P43" i="35"/>
  <c r="Q43" i="35"/>
  <c r="N43" i="35"/>
  <c r="O43" i="35"/>
  <c r="L43" i="35"/>
  <c r="M43" i="35"/>
  <c r="J43" i="35"/>
  <c r="K43" i="35"/>
  <c r="H43" i="35"/>
  <c r="I43" i="35"/>
  <c r="F43" i="35"/>
  <c r="G43" i="35"/>
  <c r="D43" i="35"/>
  <c r="E43" i="35"/>
  <c r="AL42" i="35"/>
  <c r="AM42" i="35"/>
  <c r="AJ42" i="35"/>
  <c r="AK42" i="35"/>
  <c r="AI42" i="35"/>
  <c r="AG42" i="35"/>
  <c r="AE42" i="35"/>
  <c r="AF42" i="35"/>
  <c r="AD42" i="35"/>
  <c r="AB42" i="35"/>
  <c r="Z42" i="35"/>
  <c r="X42" i="35"/>
  <c r="W42" i="35"/>
  <c r="V42" i="35"/>
  <c r="T42" i="35"/>
  <c r="U42" i="35"/>
  <c r="R42" i="35"/>
  <c r="S42" i="35"/>
  <c r="P42" i="35"/>
  <c r="Q42" i="35"/>
  <c r="N42" i="35"/>
  <c r="O42" i="35"/>
  <c r="L42" i="35"/>
  <c r="M42" i="35"/>
  <c r="J42" i="35"/>
  <c r="K42" i="35"/>
  <c r="H42" i="35"/>
  <c r="I42" i="35"/>
  <c r="F42" i="35"/>
  <c r="G42" i="35"/>
  <c r="D42" i="35"/>
  <c r="E42" i="35"/>
  <c r="AL41" i="35"/>
  <c r="AM41" i="35"/>
  <c r="AJ41" i="35"/>
  <c r="AK41" i="35"/>
  <c r="AI41" i="35"/>
  <c r="AG41" i="35"/>
  <c r="AD41" i="35"/>
  <c r="AC41" i="35"/>
  <c r="AB41" i="35"/>
  <c r="Z41" i="35"/>
  <c r="X41" i="35"/>
  <c r="W41" i="35"/>
  <c r="V41" i="35"/>
  <c r="T41" i="35"/>
  <c r="U41" i="35"/>
  <c r="R41" i="35"/>
  <c r="S41" i="35"/>
  <c r="P41" i="35"/>
  <c r="Q41" i="35"/>
  <c r="N41" i="35"/>
  <c r="O41" i="35"/>
  <c r="L41" i="35"/>
  <c r="M41" i="35"/>
  <c r="J41" i="35"/>
  <c r="K41" i="35"/>
  <c r="H41" i="35"/>
  <c r="I41" i="35"/>
  <c r="F41" i="35"/>
  <c r="G41" i="35"/>
  <c r="D41" i="35"/>
  <c r="E41" i="35"/>
  <c r="AL40" i="35"/>
  <c r="AM40" i="35"/>
  <c r="AJ40" i="35"/>
  <c r="AK40" i="35"/>
  <c r="AI40" i="35"/>
  <c r="AG40" i="35"/>
  <c r="AD40" i="35"/>
  <c r="AB40" i="35"/>
  <c r="Z40" i="35"/>
  <c r="X40" i="35"/>
  <c r="W40" i="35"/>
  <c r="V40" i="35"/>
  <c r="T40" i="35"/>
  <c r="U40" i="35"/>
  <c r="R40" i="35"/>
  <c r="P40" i="35"/>
  <c r="Q40" i="35"/>
  <c r="N40" i="35"/>
  <c r="O40" i="35"/>
  <c r="L40" i="35"/>
  <c r="M40" i="35"/>
  <c r="J40" i="35"/>
  <c r="K40" i="35"/>
  <c r="H40" i="35"/>
  <c r="I40" i="35"/>
  <c r="F40" i="35"/>
  <c r="G40" i="35"/>
  <c r="D40" i="35"/>
  <c r="E40" i="35"/>
  <c r="AL39" i="35"/>
  <c r="AM39" i="35"/>
  <c r="AJ39" i="35"/>
  <c r="AK39" i="35"/>
  <c r="AI39" i="35"/>
  <c r="AG39" i="35"/>
  <c r="AE39" i="35"/>
  <c r="AF39" i="35"/>
  <c r="AD39" i="35"/>
  <c r="AB39" i="35"/>
  <c r="Z39" i="35"/>
  <c r="X39" i="35"/>
  <c r="W39" i="35"/>
  <c r="V39" i="35"/>
  <c r="T39" i="35"/>
  <c r="U39" i="35"/>
  <c r="R39" i="35"/>
  <c r="S39" i="35"/>
  <c r="P39" i="35"/>
  <c r="Q39" i="35"/>
  <c r="N39" i="35"/>
  <c r="O39" i="35"/>
  <c r="L39" i="35"/>
  <c r="J39" i="35"/>
  <c r="K39" i="35"/>
  <c r="H39" i="35"/>
  <c r="I39" i="35"/>
  <c r="F39" i="35"/>
  <c r="G39" i="35"/>
  <c r="D39" i="35"/>
  <c r="E39" i="35"/>
  <c r="AL38" i="35"/>
  <c r="AM38" i="35"/>
  <c r="AJ38" i="35"/>
  <c r="AK38" i="35"/>
  <c r="AI38" i="35"/>
  <c r="AG38" i="35"/>
  <c r="AE38" i="35"/>
  <c r="AF38" i="35"/>
  <c r="AT20" i="35"/>
  <c r="AD38" i="35"/>
  <c r="AB38" i="35"/>
  <c r="Z38" i="35"/>
  <c r="X38" i="35"/>
  <c r="W38" i="35"/>
  <c r="V38" i="35"/>
  <c r="T38" i="35"/>
  <c r="U38" i="35"/>
  <c r="AR20" i="35"/>
  <c r="R38" i="35"/>
  <c r="S38" i="35"/>
  <c r="AQ20" i="35"/>
  <c r="P38" i="35"/>
  <c r="Q38" i="35"/>
  <c r="N38" i="35"/>
  <c r="O38" i="35"/>
  <c r="L38" i="35"/>
  <c r="M38" i="35"/>
  <c r="J38" i="35"/>
  <c r="K38" i="35"/>
  <c r="H38" i="35"/>
  <c r="I38" i="35"/>
  <c r="F38" i="35"/>
  <c r="G38" i="35"/>
  <c r="D38" i="35"/>
  <c r="E38" i="35"/>
  <c r="C36" i="35"/>
  <c r="C35" i="35"/>
  <c r="AJ34" i="35"/>
  <c r="AK34" i="35"/>
  <c r="W34" i="35"/>
  <c r="V34" i="35"/>
  <c r="T34" i="35"/>
  <c r="U34" i="35"/>
  <c r="R34" i="35"/>
  <c r="S34" i="35"/>
  <c r="P34" i="35"/>
  <c r="Q34" i="35"/>
  <c r="N34" i="35"/>
  <c r="O34" i="35"/>
  <c r="L34" i="35"/>
  <c r="M34" i="35"/>
  <c r="J34" i="35"/>
  <c r="K34" i="35"/>
  <c r="H34" i="35"/>
  <c r="I34" i="35"/>
  <c r="F34" i="35"/>
  <c r="G34" i="35"/>
  <c r="D34" i="35"/>
  <c r="E34" i="35"/>
  <c r="C34" i="35"/>
  <c r="W33" i="35"/>
  <c r="V33" i="35"/>
  <c r="T33" i="35"/>
  <c r="U33" i="35"/>
  <c r="C33" i="35"/>
  <c r="W32" i="35"/>
  <c r="V32" i="35"/>
  <c r="T32" i="35"/>
  <c r="U32" i="35"/>
  <c r="C32" i="35"/>
  <c r="W31" i="35"/>
  <c r="V31" i="35"/>
  <c r="T31" i="35"/>
  <c r="U31" i="35"/>
  <c r="C31" i="35"/>
  <c r="W30" i="35"/>
  <c r="V30" i="35"/>
  <c r="T30" i="35"/>
  <c r="U30" i="35"/>
  <c r="R30" i="35"/>
  <c r="S30" i="35"/>
  <c r="P30" i="35"/>
  <c r="Q30" i="35"/>
  <c r="N30" i="35"/>
  <c r="O30" i="35"/>
  <c r="L30" i="35"/>
  <c r="M30" i="35"/>
  <c r="J30" i="35"/>
  <c r="K30" i="35"/>
  <c r="H30" i="35"/>
  <c r="I30" i="35"/>
  <c r="F30" i="35"/>
  <c r="G30" i="35"/>
  <c r="D30" i="35"/>
  <c r="E30" i="35"/>
  <c r="C30" i="35"/>
  <c r="W29" i="35"/>
  <c r="V29" i="35"/>
  <c r="T29" i="35"/>
  <c r="U29" i="35"/>
  <c r="R29" i="35"/>
  <c r="S29" i="35"/>
  <c r="P29" i="35"/>
  <c r="Q29" i="35"/>
  <c r="N29" i="35"/>
  <c r="O29" i="35"/>
  <c r="L29" i="35"/>
  <c r="M29" i="35"/>
  <c r="J29" i="35"/>
  <c r="K29" i="35"/>
  <c r="H29" i="35"/>
  <c r="I29" i="35"/>
  <c r="F29" i="35"/>
  <c r="G29" i="35"/>
  <c r="D29" i="35"/>
  <c r="E29" i="35"/>
  <c r="C29" i="35"/>
  <c r="W28" i="35"/>
  <c r="V28" i="35"/>
  <c r="T28" i="35"/>
  <c r="U28" i="35"/>
  <c r="R28" i="35"/>
  <c r="S28" i="35"/>
  <c r="P28" i="35"/>
  <c r="Q28" i="35"/>
  <c r="N28" i="35"/>
  <c r="O28" i="35"/>
  <c r="L28" i="35"/>
  <c r="M28" i="35"/>
  <c r="J28" i="35"/>
  <c r="K28" i="35"/>
  <c r="H28" i="35"/>
  <c r="I28" i="35"/>
  <c r="F28" i="35"/>
  <c r="D28" i="35"/>
  <c r="E28" i="35"/>
  <c r="C28" i="35"/>
  <c r="W27" i="35"/>
  <c r="V27" i="35"/>
  <c r="T27" i="35"/>
  <c r="U27" i="35"/>
  <c r="R27" i="35"/>
  <c r="P27" i="35"/>
  <c r="Q27" i="35"/>
  <c r="N27" i="35"/>
  <c r="L27" i="35"/>
  <c r="M27" i="35"/>
  <c r="J27" i="35"/>
  <c r="K27" i="35"/>
  <c r="H27" i="35"/>
  <c r="I27" i="35"/>
  <c r="F27" i="35"/>
  <c r="G27" i="35"/>
  <c r="D27" i="35"/>
  <c r="E27" i="35"/>
  <c r="C27" i="35"/>
  <c r="C26" i="35"/>
  <c r="AC25" i="35"/>
  <c r="W25" i="35"/>
  <c r="V25" i="35"/>
  <c r="T25" i="35"/>
  <c r="U25" i="35"/>
  <c r="R25" i="35"/>
  <c r="S25" i="35"/>
  <c r="P25" i="35"/>
  <c r="Q25" i="35"/>
  <c r="N25" i="35"/>
  <c r="O25" i="35"/>
  <c r="L25" i="35"/>
  <c r="M25" i="35"/>
  <c r="J25" i="35"/>
  <c r="K25" i="35"/>
  <c r="H25" i="35"/>
  <c r="I25" i="35"/>
  <c r="F25" i="35"/>
  <c r="G25" i="35"/>
  <c r="D25" i="35"/>
  <c r="E25" i="35"/>
  <c r="C25" i="35"/>
  <c r="AL24" i="35"/>
  <c r="AM24" i="35"/>
  <c r="AJ24" i="35"/>
  <c r="AK24" i="35"/>
  <c r="AI24" i="35"/>
  <c r="AH24" i="35"/>
  <c r="AG24" i="35"/>
  <c r="AE24" i="35"/>
  <c r="AF24" i="35"/>
  <c r="AD24" i="35"/>
  <c r="AC24" i="35"/>
  <c r="AB24" i="35"/>
  <c r="Z24" i="35"/>
  <c r="X24" i="35"/>
  <c r="W24" i="35"/>
  <c r="V24" i="35"/>
  <c r="T24" i="35"/>
  <c r="U24" i="35"/>
  <c r="R24" i="35"/>
  <c r="S24" i="35"/>
  <c r="P24" i="35"/>
  <c r="Q24" i="35"/>
  <c r="N24" i="35"/>
  <c r="O24" i="35"/>
  <c r="L24" i="35"/>
  <c r="M24" i="35"/>
  <c r="J24" i="35"/>
  <c r="K24" i="35"/>
  <c r="H24" i="35"/>
  <c r="I24" i="35"/>
  <c r="F24" i="35"/>
  <c r="G24" i="35"/>
  <c r="D24" i="35"/>
  <c r="E24" i="35"/>
  <c r="AI23" i="35"/>
  <c r="W23" i="35"/>
  <c r="V23" i="35"/>
  <c r="T23" i="35"/>
  <c r="U23" i="35"/>
  <c r="R23" i="35"/>
  <c r="S23" i="35"/>
  <c r="P23" i="35"/>
  <c r="Q23" i="35"/>
  <c r="N23" i="35"/>
  <c r="O23" i="35"/>
  <c r="L23" i="35"/>
  <c r="M23" i="35"/>
  <c r="J23" i="35"/>
  <c r="K23" i="35"/>
  <c r="H23" i="35"/>
  <c r="I23" i="35"/>
  <c r="F23" i="35"/>
  <c r="G23" i="35"/>
  <c r="D23" i="35"/>
  <c r="E23" i="35"/>
  <c r="C23" i="35"/>
  <c r="W22" i="35"/>
  <c r="V22" i="35"/>
  <c r="T22" i="35"/>
  <c r="U22" i="35"/>
  <c r="R22" i="35"/>
  <c r="S22" i="35"/>
  <c r="P22" i="35"/>
  <c r="Q22" i="35"/>
  <c r="N22" i="35"/>
  <c r="O22" i="35"/>
  <c r="L22" i="35"/>
  <c r="M22" i="35"/>
  <c r="J22" i="35"/>
  <c r="K22" i="35"/>
  <c r="H22" i="35"/>
  <c r="I22" i="35"/>
  <c r="F22" i="35"/>
  <c r="G22" i="35"/>
  <c r="D22" i="35"/>
  <c r="E22" i="35"/>
  <c r="C22" i="35"/>
  <c r="AB21" i="35"/>
  <c r="X21" i="35"/>
  <c r="W21" i="35"/>
  <c r="V21" i="35"/>
  <c r="T21" i="35"/>
  <c r="U21" i="35"/>
  <c r="R21" i="35"/>
  <c r="S21" i="35"/>
  <c r="P21" i="35"/>
  <c r="Q21" i="35"/>
  <c r="N21" i="35"/>
  <c r="O21" i="35"/>
  <c r="L21" i="35"/>
  <c r="M21" i="35"/>
  <c r="J21" i="35"/>
  <c r="K21" i="35"/>
  <c r="H21" i="35"/>
  <c r="I21" i="35"/>
  <c r="F21" i="35"/>
  <c r="G21" i="35"/>
  <c r="D21" i="35"/>
  <c r="E21" i="35"/>
  <c r="C21" i="35"/>
  <c r="W20" i="35"/>
  <c r="V20" i="35"/>
  <c r="T20" i="35"/>
  <c r="U20" i="35"/>
  <c r="R20" i="35"/>
  <c r="S20" i="35"/>
  <c r="P20" i="35"/>
  <c r="Q20" i="35"/>
  <c r="N20" i="35"/>
  <c r="O20" i="35"/>
  <c r="L20" i="35"/>
  <c r="M20" i="35"/>
  <c r="J20" i="35"/>
  <c r="K20" i="35"/>
  <c r="H20" i="35"/>
  <c r="I20" i="35"/>
  <c r="F20" i="35"/>
  <c r="G20" i="35"/>
  <c r="D20" i="35"/>
  <c r="E20" i="35"/>
  <c r="C20" i="35"/>
  <c r="AT19" i="35"/>
  <c r="AS19" i="35"/>
  <c r="AR19" i="35"/>
  <c r="AQ19" i="35"/>
  <c r="AI19" i="35"/>
  <c r="W19" i="35"/>
  <c r="V19" i="35"/>
  <c r="T19" i="35"/>
  <c r="U19" i="35"/>
  <c r="R19" i="35"/>
  <c r="P19" i="35"/>
  <c r="Q19" i="35"/>
  <c r="N19" i="35"/>
  <c r="O19" i="35"/>
  <c r="L19" i="35"/>
  <c r="M19" i="35"/>
  <c r="J19" i="35"/>
  <c r="H19" i="35"/>
  <c r="I19" i="35"/>
  <c r="F19" i="35"/>
  <c r="D19" i="35"/>
  <c r="E19" i="35"/>
  <c r="C19" i="35"/>
  <c r="AC18" i="35"/>
  <c r="W18" i="35"/>
  <c r="V18" i="35"/>
  <c r="T18" i="35"/>
  <c r="U18" i="35"/>
  <c r="R18" i="35"/>
  <c r="S18" i="35"/>
  <c r="P18" i="35"/>
  <c r="Q18" i="35"/>
  <c r="N18" i="35"/>
  <c r="O18" i="35"/>
  <c r="L18" i="35"/>
  <c r="M18" i="35"/>
  <c r="J18" i="35"/>
  <c r="K18" i="35"/>
  <c r="H18" i="35"/>
  <c r="I18" i="35"/>
  <c r="F18" i="35"/>
  <c r="G18" i="35"/>
  <c r="D18" i="35"/>
  <c r="E18" i="35"/>
  <c r="C18" i="35"/>
  <c r="C17" i="35"/>
  <c r="C16" i="35"/>
  <c r="AM15" i="35"/>
  <c r="AL15" i="35"/>
  <c r="AC15" i="35"/>
  <c r="AF15" i="35"/>
  <c r="AB15" i="35"/>
  <c r="AE15" i="35"/>
  <c r="S15" i="35"/>
  <c r="R15" i="35"/>
  <c r="Q15" i="35"/>
  <c r="P15" i="35"/>
  <c r="O15" i="35"/>
  <c r="N15" i="35"/>
  <c r="M15" i="35"/>
  <c r="L15" i="35"/>
  <c r="K15" i="35"/>
  <c r="J15" i="35"/>
  <c r="I15" i="35"/>
  <c r="H15" i="35"/>
  <c r="G15" i="35"/>
  <c r="F15" i="35"/>
  <c r="E15" i="35"/>
  <c r="D15" i="35"/>
  <c r="C15" i="35"/>
  <c r="X11" i="35"/>
  <c r="Z11" i="35"/>
  <c r="C11" i="35"/>
  <c r="C88" i="34"/>
  <c r="AI87" i="34"/>
  <c r="AJ87" i="34"/>
  <c r="AH87" i="34"/>
  <c r="AO86" i="34"/>
  <c r="AM86" i="34"/>
  <c r="AJ86" i="34"/>
  <c r="AH73" i="35"/>
  <c r="AH86" i="34"/>
  <c r="AE86" i="34"/>
  <c r="AC73" i="35"/>
  <c r="U86" i="34"/>
  <c r="S86" i="34"/>
  <c r="Q86" i="34"/>
  <c r="O86" i="34"/>
  <c r="M86" i="34"/>
  <c r="K86" i="34"/>
  <c r="I86" i="34"/>
  <c r="G86" i="34"/>
  <c r="E86" i="34"/>
  <c r="AO85" i="34"/>
  <c r="AM85" i="34"/>
  <c r="AJ85" i="34"/>
  <c r="AH71" i="35"/>
  <c r="AH85" i="34"/>
  <c r="AE85" i="34"/>
  <c r="AC71" i="35"/>
  <c r="U85" i="34"/>
  <c r="S85" i="34"/>
  <c r="Q85" i="34"/>
  <c r="O85" i="34"/>
  <c r="M85" i="34"/>
  <c r="K85" i="34"/>
  <c r="I85" i="34"/>
  <c r="G85" i="34"/>
  <c r="E85" i="34"/>
  <c r="AO84" i="34"/>
  <c r="AM84" i="34"/>
  <c r="AJ84" i="34"/>
  <c r="AH70" i="35"/>
  <c r="AH84" i="34"/>
  <c r="AE84" i="34"/>
  <c r="AC70" i="35"/>
  <c r="U84" i="34"/>
  <c r="S84" i="34"/>
  <c r="Q84" i="34"/>
  <c r="O84" i="34"/>
  <c r="M84" i="34"/>
  <c r="K84" i="34"/>
  <c r="I84" i="34"/>
  <c r="G84" i="34"/>
  <c r="E84" i="34"/>
  <c r="AJ83" i="34"/>
  <c r="AH83" i="34"/>
  <c r="AG83" i="34"/>
  <c r="AJ82" i="34"/>
  <c r="AO81" i="34"/>
  <c r="AM81" i="34"/>
  <c r="AJ81" i="34"/>
  <c r="AH67" i="35"/>
  <c r="AH81" i="34"/>
  <c r="AE81" i="34"/>
  <c r="AC67" i="35"/>
  <c r="AA81" i="34"/>
  <c r="U81" i="34"/>
  <c r="S81" i="34"/>
  <c r="Q81" i="34"/>
  <c r="O81" i="34"/>
  <c r="M81" i="34"/>
  <c r="K81" i="34"/>
  <c r="I81" i="34"/>
  <c r="G81" i="34"/>
  <c r="E81" i="34"/>
  <c r="AO80" i="34"/>
  <c r="AM80" i="34"/>
  <c r="AJ80" i="34"/>
  <c r="AH66" i="35"/>
  <c r="AH80" i="34"/>
  <c r="AE80" i="34"/>
  <c r="AC66" i="35"/>
  <c r="U80" i="34"/>
  <c r="S80" i="34"/>
  <c r="Q80" i="34"/>
  <c r="O80" i="34"/>
  <c r="M80" i="34"/>
  <c r="K80" i="34"/>
  <c r="I80" i="34"/>
  <c r="G80" i="34"/>
  <c r="E80" i="34"/>
  <c r="AO79" i="34"/>
  <c r="AM79" i="34"/>
  <c r="AJ79" i="34"/>
  <c r="AH65" i="35"/>
  <c r="AH79" i="34"/>
  <c r="AE79" i="34"/>
  <c r="AC65" i="35"/>
  <c r="U79" i="34"/>
  <c r="S79" i="34"/>
  <c r="Q79" i="34"/>
  <c r="O79" i="34"/>
  <c r="M79" i="34"/>
  <c r="K79" i="34"/>
  <c r="I79" i="34"/>
  <c r="G79" i="34"/>
  <c r="E79" i="34"/>
  <c r="AN78" i="34"/>
  <c r="AO78" i="34"/>
  <c r="AL78" i="34"/>
  <c r="AM78" i="34"/>
  <c r="AJ78" i="34"/>
  <c r="AG78" i="34"/>
  <c r="AH78" i="34"/>
  <c r="AD78" i="34"/>
  <c r="AE78" i="34"/>
  <c r="Z78" i="34"/>
  <c r="T78" i="34"/>
  <c r="U78" i="34"/>
  <c r="R78" i="34"/>
  <c r="S78" i="34"/>
  <c r="P78" i="34"/>
  <c r="Q78" i="34"/>
  <c r="O78" i="34"/>
  <c r="N78" i="34"/>
  <c r="L78" i="34"/>
  <c r="M78" i="34"/>
  <c r="K78" i="34"/>
  <c r="J78" i="34"/>
  <c r="H78" i="34"/>
  <c r="I78" i="34"/>
  <c r="F78" i="34"/>
  <c r="G78" i="34"/>
  <c r="D78" i="34"/>
  <c r="E78" i="34"/>
  <c r="AJ77" i="34"/>
  <c r="AJ76" i="34"/>
  <c r="AO75" i="34"/>
  <c r="AM75" i="34"/>
  <c r="AJ75" i="34"/>
  <c r="AH75" i="34"/>
  <c r="AE75" i="34"/>
  <c r="Y75" i="34"/>
  <c r="X75" i="34"/>
  <c r="U75" i="34"/>
  <c r="S75" i="34"/>
  <c r="Q75" i="34"/>
  <c r="O75" i="34"/>
  <c r="M75" i="34"/>
  <c r="K75" i="34"/>
  <c r="I75" i="34"/>
  <c r="G75" i="34"/>
  <c r="E75" i="34"/>
  <c r="AO74" i="34"/>
  <c r="AM74" i="34"/>
  <c r="AJ74" i="34"/>
  <c r="AH60" i="35"/>
  <c r="AH74" i="34"/>
  <c r="AE74" i="34"/>
  <c r="AC60" i="35"/>
  <c r="Z74" i="34"/>
  <c r="U74" i="34"/>
  <c r="S74" i="34"/>
  <c r="Q74" i="34"/>
  <c r="O74" i="34"/>
  <c r="M74" i="34"/>
  <c r="K74" i="34"/>
  <c r="I74" i="34"/>
  <c r="G74" i="34"/>
  <c r="E74" i="34"/>
  <c r="AO73" i="34"/>
  <c r="AM73" i="34"/>
  <c r="AJ73" i="34"/>
  <c r="AH59" i="35"/>
  <c r="AG73" i="34"/>
  <c r="AE73" i="34"/>
  <c r="AC59" i="35"/>
  <c r="Y73" i="34"/>
  <c r="X73" i="34"/>
  <c r="U73" i="34"/>
  <c r="S73" i="34"/>
  <c r="Q73" i="34"/>
  <c r="O73" i="34"/>
  <c r="M73" i="34"/>
  <c r="K73" i="34"/>
  <c r="I73" i="34"/>
  <c r="G73" i="34"/>
  <c r="E73" i="34"/>
  <c r="AO72" i="34"/>
  <c r="AM72" i="34"/>
  <c r="AJ72" i="34"/>
  <c r="AH58" i="35"/>
  <c r="AH72" i="34"/>
  <c r="AE72" i="34"/>
  <c r="AC58" i="35"/>
  <c r="Y72" i="34"/>
  <c r="X72" i="34"/>
  <c r="U72" i="34"/>
  <c r="S72" i="34"/>
  <c r="Q72" i="34"/>
  <c r="O72" i="34"/>
  <c r="M72" i="34"/>
  <c r="K72" i="34"/>
  <c r="I72" i="34"/>
  <c r="G72" i="34"/>
  <c r="E72" i="34"/>
  <c r="AO71" i="34"/>
  <c r="AM71" i="34"/>
  <c r="AJ71" i="34"/>
  <c r="AH57" i="35"/>
  <c r="AH71" i="34"/>
  <c r="AE71" i="34"/>
  <c r="AC57" i="35"/>
  <c r="U71" i="34"/>
  <c r="S71" i="34"/>
  <c r="Q71" i="34"/>
  <c r="O71" i="34"/>
  <c r="M71" i="34"/>
  <c r="K71" i="34"/>
  <c r="I71" i="34"/>
  <c r="G71" i="34"/>
  <c r="E71" i="34"/>
  <c r="AO70" i="34"/>
  <c r="AM70" i="34"/>
  <c r="AJ70" i="34"/>
  <c r="AH56" i="35"/>
  <c r="AH70" i="34"/>
  <c r="AE70" i="34"/>
  <c r="AC56" i="35"/>
  <c r="Y70" i="34"/>
  <c r="X70" i="34"/>
  <c r="U70" i="34"/>
  <c r="S70" i="34"/>
  <c r="Q70" i="34"/>
  <c r="O70" i="34"/>
  <c r="M70" i="34"/>
  <c r="K70" i="34"/>
  <c r="I70" i="34"/>
  <c r="G70" i="34"/>
  <c r="E70" i="34"/>
  <c r="AO69" i="34"/>
  <c r="AM69" i="34"/>
  <c r="AJ69" i="34"/>
  <c r="AH55" i="35"/>
  <c r="AH69" i="34"/>
  <c r="AE69" i="34"/>
  <c r="AC55" i="35"/>
  <c r="Y69" i="34"/>
  <c r="X69" i="34"/>
  <c r="U69" i="34"/>
  <c r="S69" i="34"/>
  <c r="Q69" i="34"/>
  <c r="O69" i="34"/>
  <c r="M69" i="34"/>
  <c r="K69" i="34"/>
  <c r="I69" i="34"/>
  <c r="G69" i="34"/>
  <c r="E69" i="34"/>
  <c r="AO68" i="34"/>
  <c r="AN68" i="34"/>
  <c r="AL68" i="34"/>
  <c r="AM68" i="34"/>
  <c r="AJ68" i="34"/>
  <c r="AH68" i="34"/>
  <c r="AG68" i="34"/>
  <c r="AE68" i="34"/>
  <c r="Z68" i="34"/>
  <c r="X68" i="34"/>
  <c r="T68" i="34"/>
  <c r="U68" i="34"/>
  <c r="R68" i="34"/>
  <c r="S68" i="34"/>
  <c r="Q68" i="34"/>
  <c r="P68" i="34"/>
  <c r="N68" i="34"/>
  <c r="O68" i="34"/>
  <c r="L68" i="34"/>
  <c r="M68" i="34"/>
  <c r="J68" i="34"/>
  <c r="K68" i="34"/>
  <c r="H68" i="34"/>
  <c r="I68" i="34"/>
  <c r="F68" i="34"/>
  <c r="G68" i="34"/>
  <c r="D68" i="34"/>
  <c r="E68" i="34"/>
  <c r="AO67" i="34"/>
  <c r="AM67" i="34"/>
  <c r="AJ67" i="34"/>
  <c r="AH53" i="35"/>
  <c r="AH67" i="34"/>
  <c r="AE67" i="34"/>
  <c r="AC53" i="35"/>
  <c r="Y67" i="34"/>
  <c r="X67" i="34"/>
  <c r="U67" i="34"/>
  <c r="S67" i="34"/>
  <c r="Q67" i="34"/>
  <c r="O67" i="34"/>
  <c r="M67" i="34"/>
  <c r="K67" i="34"/>
  <c r="I67" i="34"/>
  <c r="G67" i="34"/>
  <c r="E67" i="34"/>
  <c r="AO66" i="34"/>
  <c r="AM66" i="34"/>
  <c r="AJ66" i="34"/>
  <c r="AH52" i="35"/>
  <c r="AH66" i="34"/>
  <c r="AE66" i="34"/>
  <c r="AC52" i="35"/>
  <c r="Y66" i="34"/>
  <c r="X66" i="34"/>
  <c r="U66" i="34"/>
  <c r="S66" i="34"/>
  <c r="Q66" i="34"/>
  <c r="O66" i="34"/>
  <c r="M66" i="34"/>
  <c r="K66" i="34"/>
  <c r="I66" i="34"/>
  <c r="G66" i="34"/>
  <c r="E66" i="34"/>
  <c r="AO65" i="34"/>
  <c r="AM65" i="34"/>
  <c r="AJ65" i="34"/>
  <c r="AH51" i="35"/>
  <c r="AH65" i="34"/>
  <c r="AV21" i="34"/>
  <c r="AE65" i="34"/>
  <c r="AC51" i="35"/>
  <c r="Y65" i="34"/>
  <c r="X65" i="34"/>
  <c r="U65" i="34"/>
  <c r="S65" i="34"/>
  <c r="AS21" i="34"/>
  <c r="Q65" i="34"/>
  <c r="O65" i="34"/>
  <c r="M65" i="34"/>
  <c r="K65" i="34"/>
  <c r="I65" i="34"/>
  <c r="G65" i="34"/>
  <c r="E65" i="34"/>
  <c r="AO64" i="34"/>
  <c r="AM64" i="34"/>
  <c r="AJ64" i="34"/>
  <c r="AH50" i="35"/>
  <c r="AH64" i="34"/>
  <c r="AE64" i="34"/>
  <c r="AC50" i="35"/>
  <c r="Y64" i="34"/>
  <c r="X64" i="34"/>
  <c r="U64" i="34"/>
  <c r="S64" i="34"/>
  <c r="Q64" i="34"/>
  <c r="O64" i="34"/>
  <c r="M64" i="34"/>
  <c r="K64" i="34"/>
  <c r="I64" i="34"/>
  <c r="G64" i="34"/>
  <c r="E64" i="34"/>
  <c r="AO63" i="34"/>
  <c r="AM63" i="34"/>
  <c r="AJ63" i="34"/>
  <c r="AH49" i="35"/>
  <c r="AH63" i="34"/>
  <c r="AE63" i="34"/>
  <c r="AC49" i="35"/>
  <c r="Y63" i="34"/>
  <c r="X63" i="34"/>
  <c r="U63" i="34"/>
  <c r="S63" i="34"/>
  <c r="Q63" i="34"/>
  <c r="O63" i="34"/>
  <c r="M63" i="34"/>
  <c r="K63" i="34"/>
  <c r="I63" i="34"/>
  <c r="G63" i="34"/>
  <c r="E63" i="34"/>
  <c r="AN62" i="34"/>
  <c r="AO62" i="34"/>
  <c r="AM62" i="34"/>
  <c r="AL62" i="34"/>
  <c r="AI62" i="34"/>
  <c r="AJ62" i="34"/>
  <c r="AG62" i="34"/>
  <c r="AH62" i="34"/>
  <c r="AD62" i="34"/>
  <c r="AE62" i="34"/>
  <c r="Z62" i="34"/>
  <c r="X62" i="34"/>
  <c r="U62" i="34"/>
  <c r="T62" i="34"/>
  <c r="R62" i="34"/>
  <c r="P62" i="34"/>
  <c r="Q62" i="34"/>
  <c r="N62" i="34"/>
  <c r="O62" i="34"/>
  <c r="L62" i="34"/>
  <c r="M62" i="34"/>
  <c r="J62" i="34"/>
  <c r="K62" i="34"/>
  <c r="I62" i="34"/>
  <c r="H62" i="34"/>
  <c r="F62" i="34"/>
  <c r="G62" i="34"/>
  <c r="E62" i="34"/>
  <c r="D62" i="34"/>
  <c r="AO61" i="34"/>
  <c r="AM61" i="34"/>
  <c r="AH61" i="34"/>
  <c r="AE61" i="34"/>
  <c r="AC47" i="35"/>
  <c r="Y61" i="34"/>
  <c r="X61" i="34"/>
  <c r="U61" i="34"/>
  <c r="S61" i="34"/>
  <c r="Q61" i="34"/>
  <c r="O61" i="34"/>
  <c r="M61" i="34"/>
  <c r="K61" i="34"/>
  <c r="I61" i="34"/>
  <c r="G61" i="34"/>
  <c r="E61" i="34"/>
  <c r="AO60" i="34"/>
  <c r="AM60" i="34"/>
  <c r="AJ60" i="34"/>
  <c r="AH46" i="35"/>
  <c r="AH60" i="34"/>
  <c r="AE60" i="34"/>
  <c r="AC46" i="35"/>
  <c r="Y60" i="34"/>
  <c r="X60" i="34"/>
  <c r="U60" i="34"/>
  <c r="S60" i="34"/>
  <c r="Q60" i="34"/>
  <c r="O60" i="34"/>
  <c r="M60" i="34"/>
  <c r="K60" i="34"/>
  <c r="I60" i="34"/>
  <c r="G60" i="34"/>
  <c r="E60" i="34"/>
  <c r="AO59" i="34"/>
  <c r="AM59" i="34"/>
  <c r="AJ59" i="34"/>
  <c r="AH45" i="35"/>
  <c r="AH59" i="34"/>
  <c r="AE59" i="34"/>
  <c r="AC45" i="35"/>
  <c r="Y59" i="34"/>
  <c r="X59" i="34"/>
  <c r="U59" i="34"/>
  <c r="S59" i="34"/>
  <c r="Q59" i="34"/>
  <c r="O59" i="34"/>
  <c r="M59" i="34"/>
  <c r="K59" i="34"/>
  <c r="I59" i="34"/>
  <c r="G59" i="34"/>
  <c r="E59" i="34"/>
  <c r="AO58" i="34"/>
  <c r="AM58" i="34"/>
  <c r="AJ58" i="34"/>
  <c r="AH44" i="35"/>
  <c r="AH58" i="34"/>
  <c r="AE58" i="34"/>
  <c r="AC44" i="35"/>
  <c r="Y58" i="34"/>
  <c r="X58" i="34"/>
  <c r="U58" i="34"/>
  <c r="S58" i="34"/>
  <c r="Q58" i="34"/>
  <c r="O58" i="34"/>
  <c r="M58" i="34"/>
  <c r="K58" i="34"/>
  <c r="I58" i="34"/>
  <c r="G58" i="34"/>
  <c r="E58" i="34"/>
  <c r="AO57" i="34"/>
  <c r="AM57" i="34"/>
  <c r="AJ57" i="34"/>
  <c r="AH43" i="35"/>
  <c r="AH57" i="34"/>
  <c r="AE57" i="34"/>
  <c r="Y57" i="34"/>
  <c r="X57" i="34"/>
  <c r="U57" i="34"/>
  <c r="S57" i="34"/>
  <c r="Q57" i="34"/>
  <c r="O57" i="34"/>
  <c r="M57" i="34"/>
  <c r="K57" i="34"/>
  <c r="I57" i="34"/>
  <c r="G57" i="34"/>
  <c r="E57" i="34"/>
  <c r="AO56" i="34"/>
  <c r="AM56" i="34"/>
  <c r="AJ56" i="34"/>
  <c r="AH42" i="35"/>
  <c r="AH56" i="34"/>
  <c r="AE56" i="34"/>
  <c r="AC42" i="35"/>
  <c r="Y56" i="34"/>
  <c r="X56" i="34"/>
  <c r="U56" i="34"/>
  <c r="S56" i="34"/>
  <c r="Q56" i="34"/>
  <c r="O56" i="34"/>
  <c r="M56" i="34"/>
  <c r="K56" i="34"/>
  <c r="I56" i="34"/>
  <c r="G56" i="34"/>
  <c r="E56" i="34"/>
  <c r="AO55" i="34"/>
  <c r="AM55" i="34"/>
  <c r="AJ55" i="34"/>
  <c r="AH41" i="35"/>
  <c r="AG55" i="34"/>
  <c r="AE55" i="34"/>
  <c r="Y55" i="34"/>
  <c r="X55" i="34"/>
  <c r="U55" i="34"/>
  <c r="S55" i="34"/>
  <c r="Q55" i="34"/>
  <c r="O55" i="34"/>
  <c r="M55" i="34"/>
  <c r="K55" i="34"/>
  <c r="I55" i="34"/>
  <c r="G55" i="34"/>
  <c r="E55" i="34"/>
  <c r="AO54" i="34"/>
  <c r="AM54" i="34"/>
  <c r="AJ54" i="34"/>
  <c r="AH40" i="35"/>
  <c r="AH54" i="34"/>
  <c r="AG54" i="34"/>
  <c r="AE40" i="35"/>
  <c r="AF40" i="35"/>
  <c r="AE54" i="34"/>
  <c r="AC40" i="35"/>
  <c r="Y54" i="34"/>
  <c r="X54" i="34"/>
  <c r="U54" i="34"/>
  <c r="S54" i="34"/>
  <c r="Q54" i="34"/>
  <c r="O54" i="34"/>
  <c r="M54" i="34"/>
  <c r="K54" i="34"/>
  <c r="I54" i="34"/>
  <c r="G54" i="34"/>
  <c r="E54" i="34"/>
  <c r="AO53" i="34"/>
  <c r="AM53" i="34"/>
  <c r="AJ53" i="34"/>
  <c r="AH39" i="35"/>
  <c r="AH53" i="34"/>
  <c r="AE53" i="34"/>
  <c r="AC39" i="35"/>
  <c r="Y53" i="34"/>
  <c r="X53" i="34"/>
  <c r="U53" i="34"/>
  <c r="S53" i="34"/>
  <c r="Q53" i="34"/>
  <c r="O53" i="34"/>
  <c r="M53" i="34"/>
  <c r="K53" i="34"/>
  <c r="I53" i="34"/>
  <c r="G53" i="34"/>
  <c r="E53" i="34"/>
  <c r="AO52" i="34"/>
  <c r="AM52" i="34"/>
  <c r="AJ52" i="34"/>
  <c r="AH38" i="35"/>
  <c r="AH52" i="34"/>
  <c r="AV20" i="34"/>
  <c r="AE52" i="34"/>
  <c r="AC38" i="35"/>
  <c r="Y52" i="34"/>
  <c r="X52" i="34"/>
  <c r="U52" i="34"/>
  <c r="S52" i="34"/>
  <c r="AS20" i="34"/>
  <c r="Q52" i="34"/>
  <c r="O52" i="34"/>
  <c r="M52" i="34"/>
  <c r="K52" i="34"/>
  <c r="I52" i="34"/>
  <c r="G52" i="34"/>
  <c r="E52" i="34"/>
  <c r="AN51" i="34"/>
  <c r="AO51" i="34"/>
  <c r="AM51" i="34"/>
  <c r="AL51" i="34"/>
  <c r="AL49" i="34"/>
  <c r="AI51" i="34"/>
  <c r="AJ51" i="34"/>
  <c r="AD51" i="34"/>
  <c r="AE51" i="34"/>
  <c r="AA51" i="34"/>
  <c r="Z51" i="34"/>
  <c r="X51" i="34"/>
  <c r="T51" i="34"/>
  <c r="T49" i="34"/>
  <c r="R51" i="34"/>
  <c r="S51" i="34"/>
  <c r="P51" i="34"/>
  <c r="Q51" i="34"/>
  <c r="N51" i="34"/>
  <c r="O51" i="34"/>
  <c r="M51" i="34"/>
  <c r="L51" i="34"/>
  <c r="J51" i="34"/>
  <c r="K51" i="34"/>
  <c r="I51" i="34"/>
  <c r="H51" i="34"/>
  <c r="F51" i="34"/>
  <c r="G51" i="34"/>
  <c r="D51" i="34"/>
  <c r="D49" i="34"/>
  <c r="C50" i="34"/>
  <c r="AI49" i="34"/>
  <c r="AD49" i="34"/>
  <c r="R49" i="34"/>
  <c r="C49" i="34"/>
  <c r="AO48" i="34"/>
  <c r="AM48" i="34"/>
  <c r="AJ48" i="34"/>
  <c r="AH72" i="35"/>
  <c r="AH48" i="34"/>
  <c r="AE48" i="34"/>
  <c r="AC72" i="35"/>
  <c r="AB48" i="34"/>
  <c r="Z72" i="35"/>
  <c r="AA72" i="35"/>
  <c r="Z48" i="34"/>
  <c r="U48" i="34"/>
  <c r="S48" i="34"/>
  <c r="Q48" i="34"/>
  <c r="O48" i="34"/>
  <c r="M48" i="34"/>
  <c r="K48" i="34"/>
  <c r="I48" i="34"/>
  <c r="G48" i="34"/>
  <c r="E48" i="34"/>
  <c r="AO47" i="34"/>
  <c r="AN47" i="34"/>
  <c r="AL34" i="35"/>
  <c r="AM34" i="35"/>
  <c r="AM47" i="34"/>
  <c r="AL47" i="34"/>
  <c r="AK47" i="34"/>
  <c r="AI34" i="35"/>
  <c r="AJ47" i="34"/>
  <c r="AH34" i="35"/>
  <c r="AI47" i="34"/>
  <c r="AG34" i="35"/>
  <c r="AH47" i="34"/>
  <c r="AG47" i="34"/>
  <c r="AF47" i="34"/>
  <c r="AD34" i="35"/>
  <c r="AE47" i="34"/>
  <c r="AC34" i="35"/>
  <c r="AD47" i="34"/>
  <c r="AB34" i="35"/>
  <c r="AC47" i="34"/>
  <c r="AB47" i="34"/>
  <c r="Z34" i="35"/>
  <c r="AA34" i="35"/>
  <c r="AA47" i="34"/>
  <c r="Z47" i="34"/>
  <c r="X34" i="35"/>
  <c r="U47" i="34"/>
  <c r="S47" i="34"/>
  <c r="Q47" i="34"/>
  <c r="O47" i="34"/>
  <c r="M47" i="34"/>
  <c r="K47" i="34"/>
  <c r="I47" i="34"/>
  <c r="G47" i="34"/>
  <c r="E47" i="34"/>
  <c r="C47" i="34"/>
  <c r="AO46" i="34"/>
  <c r="AN46" i="34"/>
  <c r="AM46" i="34"/>
  <c r="AL46" i="34"/>
  <c r="AK46" i="34"/>
  <c r="AJ46" i="34"/>
  <c r="AI46" i="34"/>
  <c r="AH46" i="34"/>
  <c r="AG46" i="34"/>
  <c r="D35" i="29"/>
  <c r="AF46" i="34"/>
  <c r="AE46" i="34"/>
  <c r="AD46" i="34"/>
  <c r="AC46" i="34"/>
  <c r="AB46" i="34"/>
  <c r="AA46" i="34"/>
  <c r="Z46" i="34"/>
  <c r="U46" i="34"/>
  <c r="S46" i="34"/>
  <c r="Q46" i="34"/>
  <c r="O46" i="34"/>
  <c r="M46" i="34"/>
  <c r="K46" i="34"/>
  <c r="I46" i="34"/>
  <c r="G46" i="34"/>
  <c r="E46" i="34"/>
  <c r="C46" i="34"/>
  <c r="AO45" i="34"/>
  <c r="AN45" i="34"/>
  <c r="AM45" i="34"/>
  <c r="AL45" i="34"/>
  <c r="AK45" i="34"/>
  <c r="AJ45" i="34"/>
  <c r="AI45" i="34"/>
  <c r="AH45" i="34"/>
  <c r="AG45" i="34"/>
  <c r="D34" i="29"/>
  <c r="AF45" i="34"/>
  <c r="AE45" i="34"/>
  <c r="AD45" i="34"/>
  <c r="AC45" i="34"/>
  <c r="AB45" i="34"/>
  <c r="AA45" i="34"/>
  <c r="Z45" i="34"/>
  <c r="U45" i="34"/>
  <c r="S45" i="34"/>
  <c r="Q45" i="34"/>
  <c r="O45" i="34"/>
  <c r="M45" i="34"/>
  <c r="K45" i="34"/>
  <c r="I45" i="34"/>
  <c r="G45" i="34"/>
  <c r="E45" i="34"/>
  <c r="C45" i="34"/>
  <c r="AO44" i="34"/>
  <c r="AN44" i="34"/>
  <c r="AM44" i="34"/>
  <c r="AL44" i="34"/>
  <c r="AK44" i="34"/>
  <c r="AJ44" i="34"/>
  <c r="AI44" i="34"/>
  <c r="AH44" i="34"/>
  <c r="AG44" i="34"/>
  <c r="D33" i="29"/>
  <c r="AF44" i="34"/>
  <c r="AE44" i="34"/>
  <c r="AD44" i="34"/>
  <c r="AC44" i="34"/>
  <c r="AB44" i="34"/>
  <c r="AA44" i="34"/>
  <c r="Z44" i="34"/>
  <c r="U44" i="34"/>
  <c r="S44" i="34"/>
  <c r="Q44" i="34"/>
  <c r="O44" i="34"/>
  <c r="M44" i="34"/>
  <c r="K44" i="34"/>
  <c r="I44" i="34"/>
  <c r="G44" i="34"/>
  <c r="E44" i="34"/>
  <c r="C44" i="34"/>
  <c r="AO43" i="34"/>
  <c r="AN43" i="34"/>
  <c r="AM43" i="34"/>
  <c r="AL43" i="34"/>
  <c r="AK43" i="34"/>
  <c r="AJ43" i="34"/>
  <c r="AI43" i="34"/>
  <c r="AH43" i="34"/>
  <c r="AG43" i="34"/>
  <c r="D32" i="29"/>
  <c r="D31" i="29"/>
  <c r="AF43" i="34"/>
  <c r="AE43" i="34"/>
  <c r="AD43" i="34"/>
  <c r="AC43" i="34"/>
  <c r="AB43" i="34"/>
  <c r="AA43" i="34"/>
  <c r="Z43" i="34"/>
  <c r="U43" i="34"/>
  <c r="S43" i="34"/>
  <c r="Q43" i="34"/>
  <c r="O43" i="34"/>
  <c r="M43" i="34"/>
  <c r="K43" i="34"/>
  <c r="I43" i="34"/>
  <c r="G43" i="34"/>
  <c r="E43" i="34"/>
  <c r="C43" i="34"/>
  <c r="AO42" i="34"/>
  <c r="AN42" i="34"/>
  <c r="AL33" i="35"/>
  <c r="AM33" i="35"/>
  <c r="AM42" i="34"/>
  <c r="AL42" i="34"/>
  <c r="AJ33" i="35"/>
  <c r="AK33" i="35"/>
  <c r="AK42" i="34"/>
  <c r="AI33" i="35"/>
  <c r="AJ42" i="34"/>
  <c r="AH33" i="35"/>
  <c r="AI42" i="34"/>
  <c r="AG33" i="35"/>
  <c r="AH42" i="34"/>
  <c r="AG42" i="34"/>
  <c r="AE33" i="35"/>
  <c r="AF33" i="35"/>
  <c r="AF42" i="34"/>
  <c r="AD33" i="35"/>
  <c r="AE42" i="34"/>
  <c r="AC33" i="35"/>
  <c r="AD42" i="34"/>
  <c r="AB33" i="35"/>
  <c r="AC42" i="34"/>
  <c r="AB42" i="34"/>
  <c r="Z33" i="35"/>
  <c r="AA42" i="34"/>
  <c r="Z42" i="34"/>
  <c r="X33" i="35"/>
  <c r="Y33" i="35"/>
  <c r="U42" i="34"/>
  <c r="R42" i="34"/>
  <c r="R33" i="35"/>
  <c r="S33" i="35"/>
  <c r="P42" i="34"/>
  <c r="O42" i="34"/>
  <c r="N42" i="34"/>
  <c r="N33" i="35"/>
  <c r="O33" i="35"/>
  <c r="L42" i="34"/>
  <c r="K42" i="34"/>
  <c r="J42" i="34"/>
  <c r="J33" i="35"/>
  <c r="K33" i="35"/>
  <c r="H42" i="34"/>
  <c r="F42" i="34"/>
  <c r="F33" i="35"/>
  <c r="G33" i="35"/>
  <c r="D42" i="34"/>
  <c r="C42" i="34"/>
  <c r="AO41" i="34"/>
  <c r="AN41" i="34"/>
  <c r="AM41" i="34"/>
  <c r="AL41" i="34"/>
  <c r="AK41" i="34"/>
  <c r="AJ41" i="34"/>
  <c r="AI41" i="34"/>
  <c r="AH41" i="34"/>
  <c r="AG41" i="34"/>
  <c r="D30" i="29"/>
  <c r="AF41" i="34"/>
  <c r="AE41" i="34"/>
  <c r="AD41" i="34"/>
  <c r="AC41" i="34"/>
  <c r="AB41" i="34"/>
  <c r="AA41" i="34"/>
  <c r="Z41" i="34"/>
  <c r="U41" i="34"/>
  <c r="S41" i="34"/>
  <c r="Q41" i="34"/>
  <c r="O41" i="34"/>
  <c r="M41" i="34"/>
  <c r="K41" i="34"/>
  <c r="I41" i="34"/>
  <c r="G41" i="34"/>
  <c r="E41" i="34"/>
  <c r="C41" i="34"/>
  <c r="AO40" i="34"/>
  <c r="AN40" i="34"/>
  <c r="AM40" i="34"/>
  <c r="AL40" i="34"/>
  <c r="AK40" i="34"/>
  <c r="AJ40" i="34"/>
  <c r="AI40" i="34"/>
  <c r="AH40" i="34"/>
  <c r="AG40" i="34"/>
  <c r="D29" i="29"/>
  <c r="AF40" i="34"/>
  <c r="AE40" i="34"/>
  <c r="AD40" i="34"/>
  <c r="AC40" i="34"/>
  <c r="AB40" i="34"/>
  <c r="AA40" i="34"/>
  <c r="Z40" i="34"/>
  <c r="U40" i="34"/>
  <c r="S40" i="34"/>
  <c r="Q40" i="34"/>
  <c r="O40" i="34"/>
  <c r="M40" i="34"/>
  <c r="K40" i="34"/>
  <c r="I40" i="34"/>
  <c r="G40" i="34"/>
  <c r="E40" i="34"/>
  <c r="C40" i="34"/>
  <c r="AT39" i="34"/>
  <c r="AO39" i="34"/>
  <c r="AN39" i="34"/>
  <c r="AM39" i="34"/>
  <c r="AL39" i="34"/>
  <c r="AK39" i="34"/>
  <c r="AJ39" i="34"/>
  <c r="AI39" i="34"/>
  <c r="AH39" i="34"/>
  <c r="AG39" i="34"/>
  <c r="D28" i="29"/>
  <c r="AF39" i="34"/>
  <c r="AE39" i="34"/>
  <c r="AD39" i="34"/>
  <c r="AC39" i="34"/>
  <c r="AB39" i="34"/>
  <c r="AA39" i="34"/>
  <c r="Z39" i="34"/>
  <c r="U39" i="34"/>
  <c r="S39" i="34"/>
  <c r="Q39" i="34"/>
  <c r="O39" i="34"/>
  <c r="M39" i="34"/>
  <c r="K39" i="34"/>
  <c r="I39" i="34"/>
  <c r="G39" i="34"/>
  <c r="E39" i="34"/>
  <c r="C39" i="34"/>
  <c r="AT38" i="34"/>
  <c r="AS38" i="34"/>
  <c r="AO38" i="34"/>
  <c r="AN38" i="34"/>
  <c r="AM38" i="34"/>
  <c r="AL38" i="34"/>
  <c r="AK38" i="34"/>
  <c r="AJ38" i="34"/>
  <c r="AI38" i="34"/>
  <c r="AH38" i="34"/>
  <c r="AG38" i="34"/>
  <c r="D27" i="29"/>
  <c r="AF38" i="34"/>
  <c r="AE38" i="34"/>
  <c r="AD38" i="34"/>
  <c r="AC38" i="34"/>
  <c r="AB38" i="34"/>
  <c r="AA38" i="34"/>
  <c r="Z38" i="34"/>
  <c r="U38" i="34"/>
  <c r="S38" i="34"/>
  <c r="Q38" i="34"/>
  <c r="O38" i="34"/>
  <c r="M38" i="34"/>
  <c r="K38" i="34"/>
  <c r="I38" i="34"/>
  <c r="G38" i="34"/>
  <c r="E38" i="34"/>
  <c r="C38" i="34"/>
  <c r="AT37" i="34"/>
  <c r="AO37" i="34"/>
  <c r="AN37" i="34"/>
  <c r="AM37" i="34"/>
  <c r="AL37" i="34"/>
  <c r="AK37" i="34"/>
  <c r="AJ37" i="34"/>
  <c r="AI37" i="34"/>
  <c r="AH37" i="34"/>
  <c r="AG37" i="34"/>
  <c r="D26" i="29"/>
  <c r="AF37" i="34"/>
  <c r="AE37" i="34"/>
  <c r="AD37" i="34"/>
  <c r="AC37" i="34"/>
  <c r="AB37" i="34"/>
  <c r="AA37" i="34"/>
  <c r="Z37" i="34"/>
  <c r="U37" i="34"/>
  <c r="S37" i="34"/>
  <c r="Q37" i="34"/>
  <c r="O37" i="34"/>
  <c r="M37" i="34"/>
  <c r="K37" i="34"/>
  <c r="I37" i="34"/>
  <c r="G37" i="34"/>
  <c r="E37" i="34"/>
  <c r="C37" i="34"/>
  <c r="AO36" i="34"/>
  <c r="AN36" i="34"/>
  <c r="AM36" i="34"/>
  <c r="AL36" i="34"/>
  <c r="AK36" i="34"/>
  <c r="AJ36" i="34"/>
  <c r="AI36" i="34"/>
  <c r="AH36" i="34"/>
  <c r="AG36" i="34"/>
  <c r="D25" i="29"/>
  <c r="D24" i="29"/>
  <c r="AF36" i="34"/>
  <c r="AE36" i="34"/>
  <c r="AD36" i="34"/>
  <c r="AC36" i="34"/>
  <c r="AB36" i="34"/>
  <c r="AA36" i="34"/>
  <c r="Z36" i="34"/>
  <c r="U36" i="34"/>
  <c r="S36" i="34"/>
  <c r="Q36" i="34"/>
  <c r="O36" i="34"/>
  <c r="M36" i="34"/>
  <c r="K36" i="34"/>
  <c r="I36" i="34"/>
  <c r="G36" i="34"/>
  <c r="E36" i="34"/>
  <c r="C36" i="34"/>
  <c r="AO35" i="34"/>
  <c r="AN35" i="34"/>
  <c r="AL32" i="35"/>
  <c r="AM32" i="35"/>
  <c r="AM35" i="34"/>
  <c r="AL35" i="34"/>
  <c r="AJ32" i="35"/>
  <c r="AK32" i="35"/>
  <c r="AK35" i="34"/>
  <c r="AI32" i="35"/>
  <c r="AJ35" i="34"/>
  <c r="AH32" i="35"/>
  <c r="AI35" i="34"/>
  <c r="AG32" i="35"/>
  <c r="AH35" i="34"/>
  <c r="AG35" i="34"/>
  <c r="AE32" i="35"/>
  <c r="AF32" i="35"/>
  <c r="AF35" i="34"/>
  <c r="AD32" i="35"/>
  <c r="AE35" i="34"/>
  <c r="AC32" i="35"/>
  <c r="AD35" i="34"/>
  <c r="AB32" i="35"/>
  <c r="AC35" i="34"/>
  <c r="AB35" i="34"/>
  <c r="Z32" i="35"/>
  <c r="AA35" i="34"/>
  <c r="Z35" i="34"/>
  <c r="X32" i="35"/>
  <c r="Y32" i="35"/>
  <c r="U35" i="34"/>
  <c r="R35" i="34"/>
  <c r="S35" i="34"/>
  <c r="Q35" i="34"/>
  <c r="P35" i="34"/>
  <c r="P32" i="35"/>
  <c r="Q32" i="35"/>
  <c r="N35" i="34"/>
  <c r="N32" i="35"/>
  <c r="O32" i="35"/>
  <c r="M35" i="34"/>
  <c r="L35" i="34"/>
  <c r="L32" i="35"/>
  <c r="M32" i="35"/>
  <c r="J35" i="34"/>
  <c r="J32" i="35"/>
  <c r="K32" i="35"/>
  <c r="I35" i="34"/>
  <c r="H35" i="34"/>
  <c r="H32" i="35"/>
  <c r="I32" i="35"/>
  <c r="F35" i="34"/>
  <c r="F32" i="35"/>
  <c r="G32" i="35"/>
  <c r="E35" i="34"/>
  <c r="D35" i="34"/>
  <c r="D32" i="35"/>
  <c r="E32" i="35"/>
  <c r="C35" i="34"/>
  <c r="AO34" i="34"/>
  <c r="AN34" i="34"/>
  <c r="AM34" i="34"/>
  <c r="AL34" i="34"/>
  <c r="AK34" i="34"/>
  <c r="AJ34" i="34"/>
  <c r="AI34" i="34"/>
  <c r="AH34" i="34"/>
  <c r="AG34" i="34"/>
  <c r="D23" i="29"/>
  <c r="AF34" i="34"/>
  <c r="AE34" i="34"/>
  <c r="AD34" i="34"/>
  <c r="AC34" i="34"/>
  <c r="AB34" i="34"/>
  <c r="AA34" i="34"/>
  <c r="Z34" i="34"/>
  <c r="U34" i="34"/>
  <c r="S34" i="34"/>
  <c r="Q34" i="34"/>
  <c r="O34" i="34"/>
  <c r="M34" i="34"/>
  <c r="K34" i="34"/>
  <c r="I34" i="34"/>
  <c r="G34" i="34"/>
  <c r="E34" i="34"/>
  <c r="C34" i="34"/>
  <c r="AO33" i="34"/>
  <c r="AN33" i="34"/>
  <c r="AM33" i="34"/>
  <c r="AL33" i="34"/>
  <c r="AK33" i="34"/>
  <c r="AJ33" i="34"/>
  <c r="AI33" i="34"/>
  <c r="AH33" i="34"/>
  <c r="AG33" i="34"/>
  <c r="D22" i="29"/>
  <c r="AF33" i="34"/>
  <c r="AE33" i="34"/>
  <c r="AD33" i="34"/>
  <c r="AC33" i="34"/>
  <c r="AB33" i="34"/>
  <c r="AA33" i="34"/>
  <c r="Z33" i="34"/>
  <c r="U33" i="34"/>
  <c r="S33" i="34"/>
  <c r="Q33" i="34"/>
  <c r="O33" i="34"/>
  <c r="M33" i="34"/>
  <c r="K33" i="34"/>
  <c r="I33" i="34"/>
  <c r="G33" i="34"/>
  <c r="E33" i="34"/>
  <c r="C33" i="34"/>
  <c r="AO32" i="34"/>
  <c r="AN32" i="34"/>
  <c r="AM32" i="34"/>
  <c r="AL32" i="34"/>
  <c r="AK32" i="34"/>
  <c r="AJ32" i="34"/>
  <c r="AI32" i="34"/>
  <c r="AH32" i="34"/>
  <c r="AG32" i="34"/>
  <c r="D21" i="29"/>
  <c r="AF32" i="34"/>
  <c r="AE32" i="34"/>
  <c r="AD32" i="34"/>
  <c r="AC32" i="34"/>
  <c r="AB32" i="34"/>
  <c r="AA32" i="34"/>
  <c r="Z32" i="34"/>
  <c r="U32" i="34"/>
  <c r="S32" i="34"/>
  <c r="Q32" i="34"/>
  <c r="O32" i="34"/>
  <c r="M32" i="34"/>
  <c r="K32" i="34"/>
  <c r="I32" i="34"/>
  <c r="G32" i="34"/>
  <c r="E32" i="34"/>
  <c r="C32" i="34"/>
  <c r="AO31" i="34"/>
  <c r="AN31" i="34"/>
  <c r="AM31" i="34"/>
  <c r="AL31" i="34"/>
  <c r="AK31" i="34"/>
  <c r="AJ31" i="34"/>
  <c r="AI31" i="34"/>
  <c r="AH31" i="34"/>
  <c r="AG31" i="34"/>
  <c r="D20" i="29"/>
  <c r="D19" i="29"/>
  <c r="AF31" i="34"/>
  <c r="AE31" i="34"/>
  <c r="AD31" i="34"/>
  <c r="AC31" i="34"/>
  <c r="AB31" i="34"/>
  <c r="AA31" i="34"/>
  <c r="Z31" i="34"/>
  <c r="U31" i="34"/>
  <c r="S31" i="34"/>
  <c r="Q31" i="34"/>
  <c r="O31" i="34"/>
  <c r="M31" i="34"/>
  <c r="K31" i="34"/>
  <c r="I31" i="34"/>
  <c r="G31" i="34"/>
  <c r="E31" i="34"/>
  <c r="C31" i="34"/>
  <c r="AO30" i="34"/>
  <c r="AN30" i="34"/>
  <c r="AL31" i="35"/>
  <c r="AM31" i="35"/>
  <c r="AM30" i="34"/>
  <c r="AL30" i="34"/>
  <c r="AJ31" i="35"/>
  <c r="AK31" i="35"/>
  <c r="AK30" i="34"/>
  <c r="AI31" i="35"/>
  <c r="AJ30" i="34"/>
  <c r="AH31" i="35"/>
  <c r="AI30" i="34"/>
  <c r="AG31" i="35"/>
  <c r="AH30" i="34"/>
  <c r="AG30" i="34"/>
  <c r="AE31" i="35"/>
  <c r="AF31" i="35"/>
  <c r="AF30" i="34"/>
  <c r="AD31" i="35"/>
  <c r="AE30" i="34"/>
  <c r="AC31" i="35"/>
  <c r="AD30" i="34"/>
  <c r="AB31" i="35"/>
  <c r="AC30" i="34"/>
  <c r="AB30" i="34"/>
  <c r="Z31" i="35"/>
  <c r="AA31" i="35"/>
  <c r="AA30" i="34"/>
  <c r="Z30" i="34"/>
  <c r="X31" i="35"/>
  <c r="U30" i="34"/>
  <c r="S30" i="34"/>
  <c r="R30" i="34"/>
  <c r="R31" i="35"/>
  <c r="S31" i="35"/>
  <c r="P30" i="34"/>
  <c r="Q30" i="34"/>
  <c r="O30" i="34"/>
  <c r="N30" i="34"/>
  <c r="N31" i="35"/>
  <c r="O31" i="35"/>
  <c r="L30" i="34"/>
  <c r="M30" i="34"/>
  <c r="K30" i="34"/>
  <c r="J30" i="34"/>
  <c r="J31" i="35"/>
  <c r="K31" i="35"/>
  <c r="H30" i="34"/>
  <c r="I30" i="34"/>
  <c r="G30" i="34"/>
  <c r="F30" i="34"/>
  <c r="F31" i="35"/>
  <c r="G31" i="35"/>
  <c r="D30" i="34"/>
  <c r="E30" i="34"/>
  <c r="C30" i="34"/>
  <c r="AO29" i="34"/>
  <c r="AN29" i="34"/>
  <c r="AL30" i="35"/>
  <c r="AM30" i="35"/>
  <c r="AM29" i="34"/>
  <c r="AL29" i="34"/>
  <c r="AJ30" i="35"/>
  <c r="AK30" i="35"/>
  <c r="AK29" i="34"/>
  <c r="AI30" i="35"/>
  <c r="AJ29" i="34"/>
  <c r="AH30" i="35"/>
  <c r="AI29" i="34"/>
  <c r="AG30" i="35"/>
  <c r="AH29" i="34"/>
  <c r="AG29" i="34"/>
  <c r="AF29" i="34"/>
  <c r="AD30" i="35"/>
  <c r="AE29" i="34"/>
  <c r="AC30" i="35"/>
  <c r="AD29" i="34"/>
  <c r="AB30" i="35"/>
  <c r="AC29" i="34"/>
  <c r="AB29" i="34"/>
  <c r="Z30" i="35"/>
  <c r="AA29" i="34"/>
  <c r="Z29" i="34"/>
  <c r="X30" i="35"/>
  <c r="Y30" i="35"/>
  <c r="U29" i="34"/>
  <c r="S29" i="34"/>
  <c r="Q29" i="34"/>
  <c r="O29" i="34"/>
  <c r="M29" i="34"/>
  <c r="K29" i="34"/>
  <c r="I29" i="34"/>
  <c r="G29" i="34"/>
  <c r="E29" i="34"/>
  <c r="C29" i="34"/>
  <c r="AO28" i="34"/>
  <c r="AN28" i="34"/>
  <c r="AL29" i="35"/>
  <c r="AM29" i="35"/>
  <c r="AM28" i="34"/>
  <c r="AL28" i="34"/>
  <c r="AJ29" i="35"/>
  <c r="AK29" i="35"/>
  <c r="AK28" i="34"/>
  <c r="AI29" i="35"/>
  <c r="AJ28" i="34"/>
  <c r="AH29" i="35"/>
  <c r="AI28" i="34"/>
  <c r="AG29" i="35"/>
  <c r="AH28" i="34"/>
  <c r="AG28" i="34"/>
  <c r="AF28" i="34"/>
  <c r="AD29" i="35"/>
  <c r="AE28" i="34"/>
  <c r="AC29" i="35"/>
  <c r="AD28" i="34"/>
  <c r="AB29" i="35"/>
  <c r="AC28" i="34"/>
  <c r="AB28" i="34"/>
  <c r="Z29" i="35"/>
  <c r="AA29" i="35"/>
  <c r="AA28" i="34"/>
  <c r="Z28" i="34"/>
  <c r="X29" i="35"/>
  <c r="U28" i="34"/>
  <c r="S28" i="34"/>
  <c r="Q28" i="34"/>
  <c r="O28" i="34"/>
  <c r="M28" i="34"/>
  <c r="K28" i="34"/>
  <c r="I28" i="34"/>
  <c r="G28" i="34"/>
  <c r="E28" i="34"/>
  <c r="C28" i="34"/>
  <c r="AO27" i="34"/>
  <c r="AN27" i="34"/>
  <c r="AL28" i="35"/>
  <c r="AM28" i="35"/>
  <c r="AM27" i="34"/>
  <c r="AL27" i="34"/>
  <c r="AJ28" i="35"/>
  <c r="AK28" i="35"/>
  <c r="AK27" i="34"/>
  <c r="AI28" i="35"/>
  <c r="AJ27" i="34"/>
  <c r="AH28" i="35"/>
  <c r="AI27" i="34"/>
  <c r="AG28" i="35"/>
  <c r="AH27" i="34"/>
  <c r="AG27" i="34"/>
  <c r="D16" i="29"/>
  <c r="AF27" i="34"/>
  <c r="AD28" i="35"/>
  <c r="AE27" i="34"/>
  <c r="AC28" i="35"/>
  <c r="AD27" i="34"/>
  <c r="AB28" i="35"/>
  <c r="AC27" i="34"/>
  <c r="AB27" i="34"/>
  <c r="Z28" i="35"/>
  <c r="AA27" i="34"/>
  <c r="Z27" i="34"/>
  <c r="X28" i="35"/>
  <c r="Y28" i="35"/>
  <c r="U27" i="34"/>
  <c r="S27" i="34"/>
  <c r="Q27" i="34"/>
  <c r="O27" i="34"/>
  <c r="M27" i="34"/>
  <c r="K27" i="34"/>
  <c r="I27" i="34"/>
  <c r="G27" i="34"/>
  <c r="E27" i="34"/>
  <c r="C27" i="34"/>
  <c r="AO26" i="34"/>
  <c r="AN26" i="34"/>
  <c r="AL27" i="35"/>
  <c r="AM27" i="35"/>
  <c r="AM26" i="34"/>
  <c r="AL26" i="34"/>
  <c r="AJ27" i="35"/>
  <c r="AK27" i="35"/>
  <c r="AK26" i="34"/>
  <c r="AI27" i="35"/>
  <c r="AJ26" i="34"/>
  <c r="AH27" i="35"/>
  <c r="AI26" i="34"/>
  <c r="AG27" i="35"/>
  <c r="AH26" i="34"/>
  <c r="AG26" i="34"/>
  <c r="AF26" i="34"/>
  <c r="AD27" i="35"/>
  <c r="AE26" i="34"/>
  <c r="AC27" i="35"/>
  <c r="AD26" i="34"/>
  <c r="AB27" i="35"/>
  <c r="AC26" i="34"/>
  <c r="AB26" i="34"/>
  <c r="Z27" i="35"/>
  <c r="AA27" i="35"/>
  <c r="AA26" i="34"/>
  <c r="Z26" i="34"/>
  <c r="X27" i="35"/>
  <c r="U26" i="34"/>
  <c r="S26" i="34"/>
  <c r="Q26" i="34"/>
  <c r="O26" i="34"/>
  <c r="M26" i="34"/>
  <c r="K26" i="34"/>
  <c r="I26" i="34"/>
  <c r="G26" i="34"/>
  <c r="E26" i="34"/>
  <c r="C26" i="34"/>
  <c r="AO25" i="34"/>
  <c r="AN25" i="34"/>
  <c r="AM25" i="34"/>
  <c r="AL25" i="34"/>
  <c r="AK25" i="34"/>
  <c r="AJ25" i="34"/>
  <c r="AI25" i="34"/>
  <c r="AH25" i="34"/>
  <c r="AG25" i="34"/>
  <c r="AF25" i="34"/>
  <c r="AE25" i="34"/>
  <c r="AD25" i="34"/>
  <c r="AC25" i="34"/>
  <c r="AB25" i="34"/>
  <c r="AA25" i="34"/>
  <c r="Z25" i="34"/>
  <c r="U25" i="34"/>
  <c r="R25" i="34"/>
  <c r="AS37" i="34"/>
  <c r="Q25" i="34"/>
  <c r="P25" i="34"/>
  <c r="N25" i="34"/>
  <c r="O25" i="34"/>
  <c r="M25" i="34"/>
  <c r="L25" i="34"/>
  <c r="J25" i="34"/>
  <c r="K25" i="34"/>
  <c r="I25" i="34"/>
  <c r="H25" i="34"/>
  <c r="F25" i="34"/>
  <c r="G25" i="34"/>
  <c r="E25" i="34"/>
  <c r="D25" i="34"/>
  <c r="C25" i="34"/>
  <c r="AO24" i="34"/>
  <c r="AN24" i="34"/>
  <c r="AL25" i="35"/>
  <c r="AM25" i="35"/>
  <c r="AM24" i="34"/>
  <c r="AL24" i="34"/>
  <c r="AJ25" i="35"/>
  <c r="AK25" i="35"/>
  <c r="AK24" i="34"/>
  <c r="AI25" i="35"/>
  <c r="AJ24" i="34"/>
  <c r="AH25" i="35"/>
  <c r="AI24" i="34"/>
  <c r="AG25" i="35"/>
  <c r="AH24" i="34"/>
  <c r="AG24" i="34"/>
  <c r="AF24" i="34"/>
  <c r="AD25" i="35"/>
  <c r="AE24" i="34"/>
  <c r="AD24" i="34"/>
  <c r="AB25" i="35"/>
  <c r="AC24" i="34"/>
  <c r="AB24" i="34"/>
  <c r="Z25" i="35"/>
  <c r="AA25" i="35"/>
  <c r="AA24" i="34"/>
  <c r="Z24" i="34"/>
  <c r="X25" i="35"/>
  <c r="U24" i="34"/>
  <c r="S24" i="34"/>
  <c r="Q24" i="34"/>
  <c r="O24" i="34"/>
  <c r="M24" i="34"/>
  <c r="K24" i="34"/>
  <c r="I24" i="34"/>
  <c r="G24" i="34"/>
  <c r="E24" i="34"/>
  <c r="C24" i="34"/>
  <c r="AO23" i="34"/>
  <c r="AN23" i="34"/>
  <c r="AL23" i="35"/>
  <c r="AM23" i="35"/>
  <c r="AM23" i="34"/>
  <c r="AL23" i="34"/>
  <c r="AJ23" i="35"/>
  <c r="AK23" i="35"/>
  <c r="AK23" i="34"/>
  <c r="AJ23" i="34"/>
  <c r="AH23" i="35"/>
  <c r="AI23" i="34"/>
  <c r="AG23" i="35"/>
  <c r="AH23" i="34"/>
  <c r="AG23" i="34"/>
  <c r="D12" i="29"/>
  <c r="AF23" i="34"/>
  <c r="AD23" i="35"/>
  <c r="AE23" i="34"/>
  <c r="AC23" i="35"/>
  <c r="AD23" i="34"/>
  <c r="AB23" i="35"/>
  <c r="AC23" i="34"/>
  <c r="AB23" i="34"/>
  <c r="Z23" i="35"/>
  <c r="AA23" i="34"/>
  <c r="Z23" i="34"/>
  <c r="X23" i="35"/>
  <c r="Y23" i="35"/>
  <c r="U23" i="34"/>
  <c r="S23" i="34"/>
  <c r="Q23" i="34"/>
  <c r="O23" i="34"/>
  <c r="M23" i="34"/>
  <c r="K23" i="34"/>
  <c r="I23" i="34"/>
  <c r="G23" i="34"/>
  <c r="E23" i="34"/>
  <c r="C23" i="34"/>
  <c r="AO22" i="34"/>
  <c r="AN22" i="34"/>
  <c r="AL22" i="35"/>
  <c r="AM22" i="35"/>
  <c r="AM22" i="34"/>
  <c r="AL22" i="34"/>
  <c r="AJ22" i="35"/>
  <c r="AK22" i="35"/>
  <c r="AK22" i="34"/>
  <c r="AI22" i="35"/>
  <c r="AJ22" i="34"/>
  <c r="AH22" i="35"/>
  <c r="AI22" i="34"/>
  <c r="AG22" i="35"/>
  <c r="AH22" i="34"/>
  <c r="AG22" i="34"/>
  <c r="D11" i="29"/>
  <c r="AF22" i="34"/>
  <c r="AD22" i="35"/>
  <c r="AE22" i="34"/>
  <c r="AC22" i="35"/>
  <c r="AD22" i="34"/>
  <c r="AB22" i="35"/>
  <c r="AC22" i="34"/>
  <c r="AB22" i="34"/>
  <c r="Z22" i="35"/>
  <c r="AA22" i="35"/>
  <c r="AA22" i="34"/>
  <c r="Z22" i="34"/>
  <c r="X22" i="35"/>
  <c r="U22" i="34"/>
  <c r="S22" i="34"/>
  <c r="Q22" i="34"/>
  <c r="O22" i="34"/>
  <c r="M22" i="34"/>
  <c r="K22" i="34"/>
  <c r="I22" i="34"/>
  <c r="G22" i="34"/>
  <c r="E22" i="34"/>
  <c r="C22" i="34"/>
  <c r="AT21" i="34"/>
  <c r="AO21" i="34"/>
  <c r="AN21" i="34"/>
  <c r="AL21" i="35"/>
  <c r="AM21" i="35"/>
  <c r="AM21" i="34"/>
  <c r="AL21" i="34"/>
  <c r="AJ21" i="35"/>
  <c r="AK21" i="35"/>
  <c r="AK21" i="34"/>
  <c r="AI21" i="35"/>
  <c r="AJ21" i="34"/>
  <c r="AH21" i="35"/>
  <c r="AI21" i="34"/>
  <c r="AG21" i="35"/>
  <c r="AH21" i="34"/>
  <c r="AG21" i="34"/>
  <c r="AF21" i="34"/>
  <c r="AD21" i="35"/>
  <c r="AE21" i="34"/>
  <c r="AC21" i="35"/>
  <c r="AD21" i="34"/>
  <c r="AC21" i="34"/>
  <c r="AB21" i="34"/>
  <c r="Z21" i="35"/>
  <c r="AA21" i="35"/>
  <c r="AA21" i="34"/>
  <c r="Z21" i="34"/>
  <c r="U21" i="34"/>
  <c r="S21" i="34"/>
  <c r="Q21" i="34"/>
  <c r="O21" i="34"/>
  <c r="M21" i="34"/>
  <c r="K21" i="34"/>
  <c r="I21" i="34"/>
  <c r="G21" i="34"/>
  <c r="E21" i="34"/>
  <c r="C21" i="34"/>
  <c r="AT20" i="34"/>
  <c r="AO20" i="34"/>
  <c r="AN20" i="34"/>
  <c r="AL20" i="35"/>
  <c r="AM20" i="35"/>
  <c r="AM20" i="34"/>
  <c r="AL20" i="34"/>
  <c r="AJ20" i="35"/>
  <c r="AK20" i="35"/>
  <c r="AK20" i="34"/>
  <c r="AI20" i="35"/>
  <c r="AJ20" i="34"/>
  <c r="AH20" i="35"/>
  <c r="AI20" i="34"/>
  <c r="AG20" i="35"/>
  <c r="AH20" i="34"/>
  <c r="AG20" i="34"/>
  <c r="AF20" i="34"/>
  <c r="AD20" i="35"/>
  <c r="AE20" i="34"/>
  <c r="AC20" i="35"/>
  <c r="AD20" i="34"/>
  <c r="AB20" i="35"/>
  <c r="AC20" i="34"/>
  <c r="AB20" i="34"/>
  <c r="Z20" i="35"/>
  <c r="AA20" i="35"/>
  <c r="AA20" i="34"/>
  <c r="Z20" i="34"/>
  <c r="X20" i="35"/>
  <c r="U20" i="34"/>
  <c r="S20" i="34"/>
  <c r="Q20" i="34"/>
  <c r="O20" i="34"/>
  <c r="M20" i="34"/>
  <c r="K20" i="34"/>
  <c r="I20" i="34"/>
  <c r="G20" i="34"/>
  <c r="E20" i="34"/>
  <c r="C20" i="34"/>
  <c r="AV19" i="34"/>
  <c r="AV36" i="34"/>
  <c r="AU19" i="34"/>
  <c r="AU36" i="34"/>
  <c r="AT19" i="34"/>
  <c r="AT36" i="34"/>
  <c r="AS19" i="34"/>
  <c r="AS36" i="34"/>
  <c r="AO19" i="34"/>
  <c r="AN19" i="34"/>
  <c r="AL19" i="35"/>
  <c r="AM19" i="34"/>
  <c r="AL19" i="34"/>
  <c r="AJ19" i="35"/>
  <c r="AK19" i="35"/>
  <c r="AK19" i="34"/>
  <c r="AJ19" i="34"/>
  <c r="AH19" i="35"/>
  <c r="AI19" i="34"/>
  <c r="AG19" i="35"/>
  <c r="AH19" i="34"/>
  <c r="AG19" i="34"/>
  <c r="D8" i="29"/>
  <c r="AF19" i="34"/>
  <c r="AD19" i="35"/>
  <c r="AE19" i="34"/>
  <c r="AC19" i="35"/>
  <c r="AD19" i="34"/>
  <c r="AB19" i="35"/>
  <c r="AC19" i="34"/>
  <c r="AB19" i="34"/>
  <c r="Z19" i="35"/>
  <c r="AA19" i="34"/>
  <c r="Z19" i="34"/>
  <c r="X19" i="35"/>
  <c r="Y19" i="35"/>
  <c r="U19" i="34"/>
  <c r="S19" i="34"/>
  <c r="Q19" i="34"/>
  <c r="O19" i="34"/>
  <c r="M19" i="34"/>
  <c r="K19" i="34"/>
  <c r="I19" i="34"/>
  <c r="G19" i="34"/>
  <c r="E19" i="34"/>
  <c r="C19" i="34"/>
  <c r="AO18" i="34"/>
  <c r="AN18" i="34"/>
  <c r="AL18" i="35"/>
  <c r="AM18" i="35"/>
  <c r="AM18" i="34"/>
  <c r="AL18" i="34"/>
  <c r="AJ18" i="35"/>
  <c r="AK18" i="35"/>
  <c r="AK18" i="34"/>
  <c r="AI18" i="35"/>
  <c r="AJ18" i="34"/>
  <c r="AH18" i="35"/>
  <c r="AI18" i="34"/>
  <c r="AG18" i="35"/>
  <c r="AH18" i="34"/>
  <c r="AG18" i="34"/>
  <c r="AF18" i="34"/>
  <c r="AD18" i="35"/>
  <c r="AE18" i="34"/>
  <c r="AD18" i="34"/>
  <c r="AB18" i="35"/>
  <c r="AC18" i="34"/>
  <c r="AB18" i="34"/>
  <c r="Z18" i="35"/>
  <c r="AA18" i="35"/>
  <c r="AA18" i="34"/>
  <c r="Z18" i="34"/>
  <c r="X18" i="35"/>
  <c r="U18" i="34"/>
  <c r="S18" i="34"/>
  <c r="Q18" i="34"/>
  <c r="O18" i="34"/>
  <c r="M18" i="34"/>
  <c r="K18" i="34"/>
  <c r="I18" i="34"/>
  <c r="G18" i="34"/>
  <c r="E18" i="34"/>
  <c r="C18" i="34"/>
  <c r="AO17" i="34"/>
  <c r="AN17" i="34"/>
  <c r="AM17" i="34"/>
  <c r="AL17" i="34"/>
  <c r="AK17" i="34"/>
  <c r="AJ17" i="34"/>
  <c r="AI17" i="34"/>
  <c r="AH17" i="34"/>
  <c r="AG17" i="34"/>
  <c r="AF17" i="34"/>
  <c r="AE17" i="34"/>
  <c r="AD17" i="34"/>
  <c r="AC17" i="34"/>
  <c r="AB17" i="34"/>
  <c r="AA17" i="34"/>
  <c r="Z17" i="34"/>
  <c r="U17" i="34"/>
  <c r="R17" i="34"/>
  <c r="R16" i="34"/>
  <c r="Q17" i="34"/>
  <c r="P17" i="34"/>
  <c r="N17" i="34"/>
  <c r="O17" i="34"/>
  <c r="M17" i="34"/>
  <c r="L17" i="34"/>
  <c r="J17" i="34"/>
  <c r="K17" i="34"/>
  <c r="I17" i="34"/>
  <c r="H17" i="34"/>
  <c r="F17" i="34"/>
  <c r="G17" i="34"/>
  <c r="E17" i="34"/>
  <c r="D17" i="34"/>
  <c r="C17" i="34"/>
  <c r="AO16" i="34"/>
  <c r="AM16" i="34"/>
  <c r="AK16" i="34"/>
  <c r="AJ16" i="34"/>
  <c r="AI16" i="34"/>
  <c r="AH16" i="34"/>
  <c r="Z9" i="34"/>
  <c r="AF16" i="34"/>
  <c r="AE16" i="34"/>
  <c r="AD16" i="34"/>
  <c r="AD76" i="34"/>
  <c r="AC16" i="34"/>
  <c r="AA16" i="34"/>
  <c r="T16" i="34"/>
  <c r="U16" i="34"/>
  <c r="J16" i="34"/>
  <c r="F16" i="34"/>
  <c r="C16" i="34"/>
  <c r="AO15" i="34"/>
  <c r="AN15" i="34"/>
  <c r="AE15" i="34"/>
  <c r="AH15" i="34"/>
  <c r="AD15" i="34"/>
  <c r="AG15" i="34"/>
  <c r="S15" i="34"/>
  <c r="R15" i="34"/>
  <c r="Q15" i="34"/>
  <c r="P15" i="34"/>
  <c r="O15" i="34"/>
  <c r="N15" i="34"/>
  <c r="M15" i="34"/>
  <c r="L15" i="34"/>
  <c r="K15" i="34"/>
  <c r="J15" i="34"/>
  <c r="I15" i="34"/>
  <c r="H15" i="34"/>
  <c r="G15" i="34"/>
  <c r="F15" i="34"/>
  <c r="E15" i="34"/>
  <c r="D15" i="34"/>
  <c r="C15" i="34"/>
  <c r="C14" i="34"/>
  <c r="AB11" i="34"/>
  <c r="AC48" i="34"/>
  <c r="Z11" i="34"/>
  <c r="AA69" i="34"/>
  <c r="C11" i="34"/>
  <c r="AA44" i="35"/>
  <c r="G42" i="34"/>
  <c r="Y68" i="34"/>
  <c r="D31" i="35"/>
  <c r="E31" i="35"/>
  <c r="AA50" i="35"/>
  <c r="N16" i="34"/>
  <c r="S17" i="34"/>
  <c r="AB16" i="34"/>
  <c r="AN16" i="34"/>
  <c r="Y18" i="35"/>
  <c r="AA19" i="35"/>
  <c r="Y20" i="35"/>
  <c r="AU38" i="34"/>
  <c r="Y22" i="35"/>
  <c r="AA23" i="35"/>
  <c r="Y25" i="35"/>
  <c r="S25" i="34"/>
  <c r="Y27" i="35"/>
  <c r="AA28" i="35"/>
  <c r="Y29" i="35"/>
  <c r="AA30" i="35"/>
  <c r="Y31" i="35"/>
  <c r="G35" i="34"/>
  <c r="K35" i="34"/>
  <c r="O35" i="34"/>
  <c r="AA32" i="35"/>
  <c r="S42" i="34"/>
  <c r="AA33" i="35"/>
  <c r="Y34" i="35"/>
  <c r="L49" i="34"/>
  <c r="AA56" i="34"/>
  <c r="AA48" i="35"/>
  <c r="E12" i="30"/>
  <c r="J17" i="36"/>
  <c r="C41" i="36"/>
  <c r="D41" i="36"/>
  <c r="Y21" i="35"/>
  <c r="E51" i="34"/>
  <c r="P49" i="34"/>
  <c r="Q49" i="34"/>
  <c r="U51" i="34"/>
  <c r="J9" i="36"/>
  <c r="Z8" i="34"/>
  <c r="AG16" i="34"/>
  <c r="F4" i="29"/>
  <c r="F49" i="34"/>
  <c r="F76" i="34"/>
  <c r="H49" i="34"/>
  <c r="I49" i="34"/>
  <c r="Y51" i="34"/>
  <c r="H17" i="36"/>
  <c r="G41" i="36"/>
  <c r="J41" i="36"/>
  <c r="J43" i="36"/>
  <c r="E41" i="36"/>
  <c r="F73" i="39"/>
  <c r="E74" i="39"/>
  <c r="F74" i="39"/>
  <c r="E75" i="39"/>
  <c r="F75" i="39"/>
  <c r="E81" i="39"/>
  <c r="AD82" i="34"/>
  <c r="AE76" i="34"/>
  <c r="AD77" i="34"/>
  <c r="AE77" i="34"/>
  <c r="X72" i="35"/>
  <c r="Y72" i="35"/>
  <c r="AA48" i="34"/>
  <c r="H50" i="34"/>
  <c r="I50" i="34"/>
  <c r="Y74" i="34"/>
  <c r="X60" i="35"/>
  <c r="Y60" i="35"/>
  <c r="X74" i="34"/>
  <c r="AA74" i="34"/>
  <c r="O16" i="34"/>
  <c r="AL16" i="34"/>
  <c r="AE49" i="34"/>
  <c r="AD50" i="34"/>
  <c r="AE50" i="34"/>
  <c r="T77" i="35"/>
  <c r="T50" i="34"/>
  <c r="U50" i="34"/>
  <c r="U49" i="34"/>
  <c r="AT22" i="34"/>
  <c r="AJ77" i="35"/>
  <c r="AL50" i="34"/>
  <c r="AM50" i="34"/>
  <c r="AM49" i="34"/>
  <c r="AA66" i="34"/>
  <c r="AA71" i="34"/>
  <c r="AE22" i="35"/>
  <c r="AF22" i="35"/>
  <c r="V8" i="34"/>
  <c r="Z16" i="34"/>
  <c r="AV38" i="34"/>
  <c r="AU39" i="34"/>
  <c r="L33" i="35"/>
  <c r="M33" i="35"/>
  <c r="M42" i="34"/>
  <c r="N49" i="34"/>
  <c r="AI50" i="34"/>
  <c r="AJ50" i="34"/>
  <c r="AJ49" i="34"/>
  <c r="P50" i="34"/>
  <c r="Q50" i="34"/>
  <c r="AE41" i="35"/>
  <c r="AF41" i="35"/>
  <c r="AG51" i="34"/>
  <c r="AH55" i="34"/>
  <c r="AA60" i="34"/>
  <c r="Y62" i="34"/>
  <c r="S62" i="34"/>
  <c r="T76" i="34"/>
  <c r="D33" i="35"/>
  <c r="E33" i="35"/>
  <c r="E42" i="34"/>
  <c r="F50" i="34"/>
  <c r="G50" i="34"/>
  <c r="G49" i="34"/>
  <c r="G16" i="34"/>
  <c r="AU37" i="34"/>
  <c r="P33" i="35"/>
  <c r="Q33" i="35"/>
  <c r="Q42" i="34"/>
  <c r="J49" i="34"/>
  <c r="D50" i="34"/>
  <c r="E50" i="34"/>
  <c r="E49" i="34"/>
  <c r="AA84" i="34"/>
  <c r="AA80" i="34"/>
  <c r="AA79" i="34"/>
  <c r="AA65" i="34"/>
  <c r="AU21" i="34"/>
  <c r="AA62" i="34"/>
  <c r="AA59" i="34"/>
  <c r="AA53" i="34"/>
  <c r="AA86" i="34"/>
  <c r="AA70" i="34"/>
  <c r="AA61" i="34"/>
  <c r="AA85" i="34"/>
  <c r="AA75" i="34"/>
  <c r="AA73" i="34"/>
  <c r="AA64" i="34"/>
  <c r="AA58" i="34"/>
  <c r="AA55" i="34"/>
  <c r="AA52" i="34"/>
  <c r="AU20" i="34"/>
  <c r="AA72" i="34"/>
  <c r="AA67" i="34"/>
  <c r="AA63" i="34"/>
  <c r="AA57" i="34"/>
  <c r="J76" i="34"/>
  <c r="K16" i="34"/>
  <c r="R76" i="34"/>
  <c r="S16" i="34"/>
  <c r="D7" i="29"/>
  <c r="D6" i="29"/>
  <c r="AE18" i="35"/>
  <c r="AF18" i="35"/>
  <c r="D9" i="29"/>
  <c r="AE20" i="35"/>
  <c r="AF20" i="35"/>
  <c r="D13" i="29"/>
  <c r="AE25" i="35"/>
  <c r="AF25" i="35"/>
  <c r="D15" i="29"/>
  <c r="D14" i="29"/>
  <c r="AE27" i="35"/>
  <c r="AF27" i="35"/>
  <c r="D17" i="29"/>
  <c r="AE29" i="35"/>
  <c r="AF29" i="35"/>
  <c r="D16" i="34"/>
  <c r="H31" i="35"/>
  <c r="I31" i="35"/>
  <c r="H16" i="34"/>
  <c r="L31" i="35"/>
  <c r="M31" i="35"/>
  <c r="L16" i="34"/>
  <c r="P31" i="35"/>
  <c r="Q31" i="35"/>
  <c r="P16" i="34"/>
  <c r="R32" i="35"/>
  <c r="S32" i="35"/>
  <c r="AS39" i="34"/>
  <c r="H33" i="35"/>
  <c r="I33" i="35"/>
  <c r="I42" i="34"/>
  <c r="R77" i="35"/>
  <c r="S49" i="34"/>
  <c r="AS22" i="34"/>
  <c r="R50" i="34"/>
  <c r="S50" i="34"/>
  <c r="AN49" i="34"/>
  <c r="L50" i="34"/>
  <c r="M50" i="34"/>
  <c r="M49" i="34"/>
  <c r="AA54" i="34"/>
  <c r="AA68" i="34"/>
  <c r="AE59" i="35"/>
  <c r="AF59" i="35"/>
  <c r="AH73" i="34"/>
  <c r="AA78" i="34"/>
  <c r="D10" i="29"/>
  <c r="AE21" i="35"/>
  <c r="AF21" i="35"/>
  <c r="D18" i="29"/>
  <c r="AE30" i="35"/>
  <c r="AF30" i="35"/>
  <c r="E6" i="30"/>
  <c r="AV37" i="34"/>
  <c r="AV39" i="34"/>
  <c r="D45" i="29"/>
  <c r="D44" i="29"/>
  <c r="AE34" i="35"/>
  <c r="AF34" i="35"/>
  <c r="Z49" i="34"/>
  <c r="AE28" i="35"/>
  <c r="AF28" i="35"/>
  <c r="AA40" i="35"/>
  <c r="AE19" i="35"/>
  <c r="AF19" i="35"/>
  <c r="AE23" i="35"/>
  <c r="AF23" i="35"/>
  <c r="AA42" i="35"/>
  <c r="AA46" i="35"/>
  <c r="AA52" i="35"/>
  <c r="Y61" i="35"/>
  <c r="AA67" i="35"/>
  <c r="E68" i="36"/>
  <c r="F8" i="36"/>
  <c r="Y24" i="35"/>
  <c r="AA39" i="35"/>
  <c r="AA41" i="35"/>
  <c r="AA43" i="35"/>
  <c r="AA45" i="35"/>
  <c r="AA47" i="35"/>
  <c r="AA49" i="35"/>
  <c r="AA51" i="35"/>
  <c r="AA53" i="35"/>
  <c r="Y55" i="35"/>
  <c r="Y56" i="35"/>
  <c r="Y57" i="35"/>
  <c r="Y58" i="35"/>
  <c r="Y59" i="35"/>
  <c r="G12" i="30"/>
  <c r="AA24" i="35"/>
  <c r="Y40" i="35"/>
  <c r="Y42" i="35"/>
  <c r="Y44" i="35"/>
  <c r="Y46" i="35"/>
  <c r="AA65" i="35"/>
  <c r="F41" i="36"/>
  <c r="E42" i="36"/>
  <c r="F42" i="36"/>
  <c r="Y48" i="35"/>
  <c r="Y50" i="35"/>
  <c r="Y52" i="35"/>
  <c r="AA55" i="35"/>
  <c r="AA57" i="35"/>
  <c r="AA59" i="35"/>
  <c r="AA61" i="35"/>
  <c r="Y67" i="35"/>
  <c r="I34" i="36"/>
  <c r="C42" i="36"/>
  <c r="D42" i="36"/>
  <c r="G42" i="36"/>
  <c r="I54" i="36"/>
  <c r="I70" i="36"/>
  <c r="C8" i="36"/>
  <c r="G8" i="36"/>
  <c r="I17" i="36"/>
  <c r="H22" i="36"/>
  <c r="H27" i="36"/>
  <c r="F34" i="36"/>
  <c r="H43" i="36"/>
  <c r="F54" i="36"/>
  <c r="J54" i="36"/>
  <c r="I60" i="36"/>
  <c r="J70" i="36"/>
  <c r="H75" i="36"/>
  <c r="Y39" i="35"/>
  <c r="Y41" i="35"/>
  <c r="Y43" i="35"/>
  <c r="Y45" i="35"/>
  <c r="Y47" i="35"/>
  <c r="Y49" i="35"/>
  <c r="Y51" i="35"/>
  <c r="AS21" i="35"/>
  <c r="Y53" i="35"/>
  <c r="AA56" i="35"/>
  <c r="AA58" i="35"/>
  <c r="AA60" i="35"/>
  <c r="Y66" i="35"/>
  <c r="Y71" i="35"/>
  <c r="Y73" i="35"/>
  <c r="H9" i="36"/>
  <c r="F17" i="36"/>
  <c r="I22" i="36"/>
  <c r="I27" i="36"/>
  <c r="I43" i="36"/>
  <c r="F60" i="36"/>
  <c r="AA66" i="35"/>
  <c r="AA71" i="35"/>
  <c r="AA73" i="35"/>
  <c r="AL48" i="35"/>
  <c r="AM48" i="35"/>
  <c r="AJ48" i="35"/>
  <c r="AK48" i="35"/>
  <c r="AG54" i="35"/>
  <c r="AH54" i="35"/>
  <c r="AE64" i="35"/>
  <c r="AF64" i="35"/>
  <c r="Z54" i="35"/>
  <c r="AA54" i="35"/>
  <c r="AG26" i="35"/>
  <c r="AH26" i="35"/>
  <c r="AL26" i="35"/>
  <c r="AM26" i="35"/>
  <c r="AE54" i="35"/>
  <c r="AF54" i="35"/>
  <c r="T64" i="35"/>
  <c r="U64" i="35"/>
  <c r="AF65" i="35"/>
  <c r="N26" i="35"/>
  <c r="O26" i="35"/>
  <c r="AB26" i="35"/>
  <c r="AC26" i="35"/>
  <c r="R26" i="35"/>
  <c r="S26" i="35"/>
  <c r="P37" i="35"/>
  <c r="Q37" i="35"/>
  <c r="L54" i="35"/>
  <c r="M54" i="35"/>
  <c r="AB37" i="35"/>
  <c r="AC37" i="35"/>
  <c r="AG37" i="35"/>
  <c r="AH37" i="35"/>
  <c r="L37" i="35"/>
  <c r="M37" i="35"/>
  <c r="T54" i="35"/>
  <c r="U54" i="35"/>
  <c r="AG74" i="35"/>
  <c r="AH74" i="35"/>
  <c r="Z17" i="35"/>
  <c r="AA17" i="35"/>
  <c r="AG17" i="35"/>
  <c r="T37" i="35"/>
  <c r="M39" i="35"/>
  <c r="R37" i="35"/>
  <c r="S37" i="35"/>
  <c r="R54" i="35"/>
  <c r="S54" i="35"/>
  <c r="D64" i="35"/>
  <c r="E64" i="35"/>
  <c r="J26" i="35"/>
  <c r="K26" i="35"/>
  <c r="D37" i="35"/>
  <c r="X37" i="35"/>
  <c r="Y37" i="35"/>
  <c r="AL54" i="35"/>
  <c r="AM54" i="35"/>
  <c r="L64" i="35"/>
  <c r="M64" i="35"/>
  <c r="P26" i="35"/>
  <c r="Q26" i="35"/>
  <c r="F26" i="35"/>
  <c r="G26" i="35"/>
  <c r="J54" i="35"/>
  <c r="K54" i="35"/>
  <c r="J17" i="35"/>
  <c r="K17" i="35"/>
  <c r="L26" i="35"/>
  <c r="M26" i="35"/>
  <c r="Z26" i="35"/>
  <c r="AA26" i="35"/>
  <c r="S27" i="35"/>
  <c r="Y38" i="35"/>
  <c r="AS20" i="35"/>
  <c r="S40" i="35"/>
  <c r="AJ54" i="35"/>
  <c r="AK54" i="35"/>
  <c r="AM56" i="35"/>
  <c r="P64" i="35"/>
  <c r="Q64" i="35"/>
  <c r="R17" i="35"/>
  <c r="P17" i="35"/>
  <c r="Q17" i="35"/>
  <c r="H26" i="35"/>
  <c r="I26" i="35"/>
  <c r="AJ26" i="35"/>
  <c r="AK26" i="35"/>
  <c r="O27" i="35"/>
  <c r="F37" i="35"/>
  <c r="G37" i="35"/>
  <c r="N37" i="35"/>
  <c r="AL37" i="35"/>
  <c r="Z37" i="35"/>
  <c r="F54" i="35"/>
  <c r="G54" i="35"/>
  <c r="N54" i="35"/>
  <c r="O54" i="35"/>
  <c r="X64" i="35"/>
  <c r="Y64" i="35"/>
  <c r="H17" i="35"/>
  <c r="I17" i="35"/>
  <c r="L17" i="35"/>
  <c r="M17" i="35"/>
  <c r="D17" i="35"/>
  <c r="E17" i="35"/>
  <c r="T17" i="35"/>
  <c r="U17" i="35"/>
  <c r="AJ17" i="35"/>
  <c r="AK17" i="35"/>
  <c r="AB17" i="35"/>
  <c r="F17" i="35"/>
  <c r="G17" i="35"/>
  <c r="AL17" i="35"/>
  <c r="AM17" i="35"/>
  <c r="T26" i="35"/>
  <c r="U26" i="35"/>
  <c r="J37" i="35"/>
  <c r="K37" i="35"/>
  <c r="AA38" i="35"/>
  <c r="H54" i="35"/>
  <c r="I54" i="35"/>
  <c r="P54" i="35"/>
  <c r="Q54" i="35"/>
  <c r="AB54" i="35"/>
  <c r="AC54" i="35"/>
  <c r="AJ64" i="35"/>
  <c r="AK64" i="35"/>
  <c r="N17" i="35"/>
  <c r="H37" i="35"/>
  <c r="AJ37" i="35"/>
  <c r="D26" i="35"/>
  <c r="E26" i="35"/>
  <c r="G19" i="35"/>
  <c r="K19" i="35"/>
  <c r="S19" i="35"/>
  <c r="AM19" i="35"/>
  <c r="G28" i="35"/>
  <c r="X17" i="35"/>
  <c r="X26" i="35"/>
  <c r="Y26" i="35"/>
  <c r="X54" i="35"/>
  <c r="Y54" i="35"/>
  <c r="G65" i="35"/>
  <c r="F64" i="35"/>
  <c r="G64" i="35"/>
  <c r="K70" i="35"/>
  <c r="S70" i="35"/>
  <c r="Y70" i="35"/>
  <c r="H64" i="35"/>
  <c r="I64" i="35"/>
  <c r="Z64" i="35"/>
  <c r="AA64" i="35"/>
  <c r="AL64" i="35"/>
  <c r="AM64" i="35"/>
  <c r="S65" i="35"/>
  <c r="R64" i="35"/>
  <c r="S64" i="35"/>
  <c r="AB64" i="35"/>
  <c r="AC64" i="35"/>
  <c r="E70" i="35"/>
  <c r="M70" i="35"/>
  <c r="U70" i="35"/>
  <c r="AA70" i="35"/>
  <c r="O65" i="35"/>
  <c r="N64" i="35"/>
  <c r="O64" i="35"/>
  <c r="G70" i="35"/>
  <c r="O70" i="35"/>
  <c r="K65" i="35"/>
  <c r="J64" i="35"/>
  <c r="K64" i="35"/>
  <c r="Y65" i="35"/>
  <c r="I70" i="35"/>
  <c r="Q70" i="35"/>
  <c r="I41" i="36"/>
  <c r="H41" i="36"/>
  <c r="F81" i="39"/>
  <c r="AL77" i="35"/>
  <c r="AO49" i="34"/>
  <c r="AN50" i="34"/>
  <c r="AO50" i="34"/>
  <c r="D5" i="29"/>
  <c r="D4" i="29"/>
  <c r="G4" i="29"/>
  <c r="E5" i="30"/>
  <c r="E4" i="30"/>
  <c r="AG49" i="34"/>
  <c r="AH51" i="34"/>
  <c r="AL76" i="34"/>
  <c r="W8" i="34"/>
  <c r="W9" i="34"/>
  <c r="F77" i="34"/>
  <c r="G77" i="34"/>
  <c r="G76" i="34"/>
  <c r="F82" i="34"/>
  <c r="H76" i="34"/>
  <c r="I16" i="34"/>
  <c r="AE17" i="35"/>
  <c r="AF17" i="35"/>
  <c r="I8" i="36"/>
  <c r="G68" i="36"/>
  <c r="L16" i="36"/>
  <c r="H8" i="36"/>
  <c r="J8" i="36"/>
  <c r="E74" i="36"/>
  <c r="F68" i="36"/>
  <c r="E69" i="36"/>
  <c r="F69" i="36"/>
  <c r="AE37" i="35"/>
  <c r="AF37" i="35"/>
  <c r="C68" i="36"/>
  <c r="D8" i="36"/>
  <c r="M16" i="34"/>
  <c r="L76" i="34"/>
  <c r="E16" i="34"/>
  <c r="D76" i="34"/>
  <c r="R82" i="35"/>
  <c r="R77" i="34"/>
  <c r="S77" i="34"/>
  <c r="S76" i="34"/>
  <c r="R82" i="34"/>
  <c r="AN76" i="34"/>
  <c r="N50" i="34"/>
  <c r="O50" i="34"/>
  <c r="O49" i="34"/>
  <c r="N76" i="34"/>
  <c r="Q16" i="34"/>
  <c r="P76" i="34"/>
  <c r="J77" i="34"/>
  <c r="K77" i="34"/>
  <c r="J82" i="34"/>
  <c r="K76" i="34"/>
  <c r="K49" i="34"/>
  <c r="J50" i="34"/>
  <c r="K50" i="34"/>
  <c r="J42" i="36"/>
  <c r="I42" i="36"/>
  <c r="H42" i="36"/>
  <c r="AE26" i="35"/>
  <c r="AF26" i="35"/>
  <c r="X77" i="35"/>
  <c r="Z50" i="34"/>
  <c r="AA49" i="34"/>
  <c r="AU22" i="34"/>
  <c r="Y49" i="34"/>
  <c r="X49" i="34"/>
  <c r="T82" i="35"/>
  <c r="T82" i="34"/>
  <c r="T77" i="34"/>
  <c r="U77" i="34"/>
  <c r="U76" i="34"/>
  <c r="U9" i="34"/>
  <c r="U8" i="34"/>
  <c r="Z76" i="34"/>
  <c r="AG7" i="34"/>
  <c r="V9" i="34"/>
  <c r="AD87" i="34"/>
  <c r="AE82" i="34"/>
  <c r="T35" i="35"/>
  <c r="T78" i="35"/>
  <c r="T79" i="35"/>
  <c r="AG35" i="35"/>
  <c r="AG36" i="35"/>
  <c r="AH36" i="35"/>
  <c r="Z35" i="35"/>
  <c r="Z36" i="35"/>
  <c r="AA36" i="35"/>
  <c r="AG16" i="35"/>
  <c r="AH16" i="35"/>
  <c r="R16" i="35"/>
  <c r="S16" i="35"/>
  <c r="F35" i="35"/>
  <c r="F36" i="35"/>
  <c r="G36" i="35"/>
  <c r="J35" i="35"/>
  <c r="J36" i="35"/>
  <c r="K36" i="35"/>
  <c r="AB16" i="35"/>
  <c r="AC16" i="35"/>
  <c r="J16" i="35"/>
  <c r="U37" i="35"/>
  <c r="R35" i="35"/>
  <c r="Z16" i="35"/>
  <c r="AC17" i="35"/>
  <c r="P16" i="35"/>
  <c r="L16" i="35"/>
  <c r="M16" i="35"/>
  <c r="E37" i="35"/>
  <c r="L35" i="35"/>
  <c r="P35" i="35"/>
  <c r="Q35" i="35"/>
  <c r="AH17" i="35"/>
  <c r="AL16" i="35"/>
  <c r="AM16" i="35"/>
  <c r="H16" i="35"/>
  <c r="I16" i="35"/>
  <c r="F16" i="35"/>
  <c r="G16" i="35"/>
  <c r="T16" i="35"/>
  <c r="S17" i="35"/>
  <c r="AL35" i="35"/>
  <c r="AM37" i="35"/>
  <c r="AJ16" i="35"/>
  <c r="AK16" i="35"/>
  <c r="AA37" i="35"/>
  <c r="N35" i="35"/>
  <c r="O37" i="35"/>
  <c r="AB35" i="35"/>
  <c r="AJ35" i="35"/>
  <c r="AK37" i="35"/>
  <c r="D16" i="35"/>
  <c r="X35" i="35"/>
  <c r="N16" i="35"/>
  <c r="O17" i="35"/>
  <c r="H35" i="35"/>
  <c r="I37" i="35"/>
  <c r="X16" i="35"/>
  <c r="Y17" i="35"/>
  <c r="AE35" i="35"/>
  <c r="AF35" i="35"/>
  <c r="AT22" i="35"/>
  <c r="AE16" i="35"/>
  <c r="V9" i="35"/>
  <c r="AL82" i="35"/>
  <c r="AN82" i="34"/>
  <c r="AN77" i="34"/>
  <c r="AO77" i="34"/>
  <c r="AO76" i="34"/>
  <c r="K82" i="34"/>
  <c r="J87" i="34"/>
  <c r="N77" i="34"/>
  <c r="O77" i="34"/>
  <c r="O76" i="34"/>
  <c r="N82" i="34"/>
  <c r="S82" i="34"/>
  <c r="R87" i="34"/>
  <c r="D82" i="34"/>
  <c r="D77" i="34"/>
  <c r="E77" i="34"/>
  <c r="E76" i="34"/>
  <c r="X50" i="34"/>
  <c r="Y50" i="34"/>
  <c r="AA50" i="34"/>
  <c r="AJ82" i="35"/>
  <c r="AM76" i="34"/>
  <c r="AL82" i="34"/>
  <c r="AL77" i="34"/>
  <c r="AM77" i="34"/>
  <c r="X82" i="35"/>
  <c r="Z77" i="34"/>
  <c r="AA77" i="34"/>
  <c r="AA76" i="34"/>
  <c r="Z82" i="34"/>
  <c r="D68" i="36"/>
  <c r="C69" i="36"/>
  <c r="D69" i="36"/>
  <c r="C74" i="36"/>
  <c r="J74" i="36"/>
  <c r="I74" i="36"/>
  <c r="E79" i="36"/>
  <c r="F74" i="36"/>
  <c r="H68" i="36"/>
  <c r="G69" i="36"/>
  <c r="J68" i="36"/>
  <c r="I68" i="36"/>
  <c r="H82" i="34"/>
  <c r="I76" i="34"/>
  <c r="H77" i="34"/>
  <c r="I77" i="34"/>
  <c r="AE77" i="35"/>
  <c r="AG50" i="34"/>
  <c r="AH49" i="34"/>
  <c r="AV22" i="34"/>
  <c r="AG76" i="34"/>
  <c r="AD83" i="34"/>
  <c r="AE83" i="34"/>
  <c r="AE87" i="34"/>
  <c r="T87" i="34"/>
  <c r="U82" i="34"/>
  <c r="P82" i="34"/>
  <c r="Q76" i="34"/>
  <c r="P77" i="34"/>
  <c r="Q77" i="34"/>
  <c r="L77" i="34"/>
  <c r="M77" i="34"/>
  <c r="M76" i="34"/>
  <c r="L82" i="34"/>
  <c r="G82" i="34"/>
  <c r="F87" i="34"/>
  <c r="G4" i="30"/>
  <c r="T62" i="35"/>
  <c r="T63" i="35"/>
  <c r="U63" i="35"/>
  <c r="T36" i="35"/>
  <c r="U36" i="35"/>
  <c r="U35" i="35"/>
  <c r="AR22" i="35"/>
  <c r="AO35" i="35"/>
  <c r="AA35" i="35"/>
  <c r="AH35" i="35"/>
  <c r="J62" i="35"/>
  <c r="J63" i="35"/>
  <c r="K63" i="35"/>
  <c r="K16" i="35"/>
  <c r="G35" i="35"/>
  <c r="Z62" i="35"/>
  <c r="Z68" i="35"/>
  <c r="R62" i="35"/>
  <c r="S62" i="35"/>
  <c r="K35" i="35"/>
  <c r="P62" i="35"/>
  <c r="Q62" i="35"/>
  <c r="AA16" i="35"/>
  <c r="F62" i="35"/>
  <c r="F68" i="35"/>
  <c r="Q16" i="35"/>
  <c r="AB62" i="35"/>
  <c r="AB68" i="35"/>
  <c r="W8" i="35"/>
  <c r="M35" i="35"/>
  <c r="L36" i="35"/>
  <c r="M36" i="35"/>
  <c r="U16" i="35"/>
  <c r="L62" i="35"/>
  <c r="L68" i="35"/>
  <c r="AL62" i="35"/>
  <c r="AL68" i="35"/>
  <c r="R78" i="35"/>
  <c r="R79" i="35"/>
  <c r="R36" i="35"/>
  <c r="S36" i="35"/>
  <c r="S35" i="35"/>
  <c r="AQ22" i="35"/>
  <c r="P36" i="35"/>
  <c r="Q36" i="35"/>
  <c r="O35" i="35"/>
  <c r="N36" i="35"/>
  <c r="O36" i="35"/>
  <c r="AL78" i="35"/>
  <c r="AL79" i="35"/>
  <c r="AM35" i="35"/>
  <c r="AL36" i="35"/>
  <c r="AM36" i="35"/>
  <c r="AS35" i="35"/>
  <c r="AC35" i="35"/>
  <c r="AB36" i="35"/>
  <c r="AC36" i="35"/>
  <c r="X62" i="35"/>
  <c r="Y16" i="35"/>
  <c r="U9" i="35"/>
  <c r="U8" i="35"/>
  <c r="AE7" i="35"/>
  <c r="N62" i="35"/>
  <c r="O16" i="35"/>
  <c r="X8" i="35"/>
  <c r="AE78" i="35"/>
  <c r="AE79" i="35"/>
  <c r="AE36" i="35"/>
  <c r="AF36" i="35"/>
  <c r="AJ78" i="35"/>
  <c r="AJ79" i="35"/>
  <c r="AK35" i="35"/>
  <c r="AR35" i="35"/>
  <c r="AJ36" i="35"/>
  <c r="AK36" i="35"/>
  <c r="X78" i="35"/>
  <c r="X79" i="35"/>
  <c r="AP35" i="35"/>
  <c r="X36" i="35"/>
  <c r="Y36" i="35"/>
  <c r="Y35" i="35"/>
  <c r="AS22" i="35"/>
  <c r="I35" i="35"/>
  <c r="H36" i="35"/>
  <c r="I36" i="35"/>
  <c r="AJ62" i="35"/>
  <c r="E16" i="35"/>
  <c r="H62" i="35"/>
  <c r="W9" i="35"/>
  <c r="AQ35" i="35"/>
  <c r="V8" i="35"/>
  <c r="AE62" i="35"/>
  <c r="AE68" i="35"/>
  <c r="AE74" i="35"/>
  <c r="AF16" i="35"/>
  <c r="X9" i="35"/>
  <c r="P87" i="34"/>
  <c r="Q82" i="34"/>
  <c r="AM82" i="34"/>
  <c r="AL87" i="34"/>
  <c r="D87" i="34"/>
  <c r="E82" i="34"/>
  <c r="F83" i="34"/>
  <c r="G83" i="34"/>
  <c r="G87" i="34"/>
  <c r="AE82" i="35"/>
  <c r="AG77" i="34"/>
  <c r="AG82" i="34"/>
  <c r="AH82" i="34"/>
  <c r="AH76" i="34"/>
  <c r="J79" i="36"/>
  <c r="F79" i="36"/>
  <c r="E75" i="36"/>
  <c r="I79" i="36"/>
  <c r="R83" i="34"/>
  <c r="S83" i="34"/>
  <c r="S87" i="34"/>
  <c r="U87" i="34"/>
  <c r="T83" i="34"/>
  <c r="U83" i="34"/>
  <c r="H69" i="36"/>
  <c r="J69" i="36"/>
  <c r="I69" i="36"/>
  <c r="J83" i="34"/>
  <c r="K83" i="34"/>
  <c r="K87" i="34"/>
  <c r="AN87" i="34"/>
  <c r="AO82" i="34"/>
  <c r="C79" i="36"/>
  <c r="D74" i="36"/>
  <c r="L87" i="34"/>
  <c r="M82" i="34"/>
  <c r="E8" i="30"/>
  <c r="E7" i="30"/>
  <c r="AH50" i="34"/>
  <c r="H87" i="34"/>
  <c r="I82" i="34"/>
  <c r="AA82" i="34"/>
  <c r="Z87" i="34"/>
  <c r="O82" i="34"/>
  <c r="N87" i="34"/>
  <c r="L63" i="35"/>
  <c r="M63" i="35"/>
  <c r="U62" i="35"/>
  <c r="R83" i="35"/>
  <c r="R84" i="35"/>
  <c r="T83" i="35"/>
  <c r="T84" i="35"/>
  <c r="T68" i="35"/>
  <c r="U68" i="35"/>
  <c r="J68" i="35"/>
  <c r="K68" i="35"/>
  <c r="K62" i="35"/>
  <c r="AA62" i="35"/>
  <c r="AC62" i="35"/>
  <c r="Z63" i="35"/>
  <c r="AA63" i="35"/>
  <c r="R63" i="35"/>
  <c r="S63" i="35"/>
  <c r="R68" i="35"/>
  <c r="R74" i="35"/>
  <c r="P68" i="35"/>
  <c r="P74" i="35"/>
  <c r="F63" i="35"/>
  <c r="G63" i="35"/>
  <c r="G62" i="35"/>
  <c r="P63" i="35"/>
  <c r="Q63" i="35"/>
  <c r="AL63" i="35"/>
  <c r="AM63" i="35"/>
  <c r="AB63" i="35"/>
  <c r="AC63" i="35"/>
  <c r="AM62" i="35"/>
  <c r="M62" i="35"/>
  <c r="AL83" i="35"/>
  <c r="AL84" i="35"/>
  <c r="Z74" i="35"/>
  <c r="AA68" i="35"/>
  <c r="AJ83" i="35"/>
  <c r="AJ84" i="35"/>
  <c r="AJ68" i="35"/>
  <c r="AJ63" i="35"/>
  <c r="AK63" i="35"/>
  <c r="AK62" i="35"/>
  <c r="L74" i="35"/>
  <c r="M68" i="35"/>
  <c r="H68" i="35"/>
  <c r="H63" i="35"/>
  <c r="I63" i="35"/>
  <c r="I62" i="35"/>
  <c r="N68" i="35"/>
  <c r="O62" i="35"/>
  <c r="N63" i="35"/>
  <c r="O63" i="35"/>
  <c r="X83" i="35"/>
  <c r="X84" i="35"/>
  <c r="X68" i="35"/>
  <c r="Y62" i="35"/>
  <c r="X63" i="35"/>
  <c r="Y63" i="35"/>
  <c r="AC68" i="35"/>
  <c r="AB74" i="35"/>
  <c r="G68" i="35"/>
  <c r="F74" i="35"/>
  <c r="AL74" i="35"/>
  <c r="AM68" i="35"/>
  <c r="AF68" i="35"/>
  <c r="T74" i="35"/>
  <c r="U74" i="35"/>
  <c r="AE63" i="35"/>
  <c r="AF63" i="35"/>
  <c r="AF62" i="35"/>
  <c r="AE83" i="35"/>
  <c r="AE84" i="35"/>
  <c r="N83" i="34"/>
  <c r="O83" i="34"/>
  <c r="O87" i="34"/>
  <c r="F75" i="36"/>
  <c r="J75" i="36"/>
  <c r="I75" i="36"/>
  <c r="D79" i="36"/>
  <c r="C75" i="36"/>
  <c r="D75" i="36"/>
  <c r="AM87" i="34"/>
  <c r="AL83" i="34"/>
  <c r="AM83" i="34"/>
  <c r="H83" i="34"/>
  <c r="I83" i="34"/>
  <c r="I87" i="34"/>
  <c r="M87" i="34"/>
  <c r="L83" i="34"/>
  <c r="M83" i="34"/>
  <c r="AO87" i="34"/>
  <c r="AN83" i="34"/>
  <c r="AO83" i="34"/>
  <c r="E11" i="30"/>
  <c r="AH77" i="34"/>
  <c r="G7" i="30"/>
  <c r="E10" i="30"/>
  <c r="Z83" i="34"/>
  <c r="AA83" i="34"/>
  <c r="AA87" i="34"/>
  <c r="E87" i="34"/>
  <c r="D83" i="34"/>
  <c r="E83" i="34"/>
  <c r="P83" i="34"/>
  <c r="Q83" i="34"/>
  <c r="Q87" i="34"/>
  <c r="D55" i="35"/>
  <c r="J74" i="35"/>
  <c r="K74" i="35"/>
  <c r="S68" i="35"/>
  <c r="Q68" i="35"/>
  <c r="AM74" i="35"/>
  <c r="AL69" i="35"/>
  <c r="AM69" i="35"/>
  <c r="S74" i="35"/>
  <c r="R69" i="35"/>
  <c r="S69" i="35"/>
  <c r="AJ74" i="35"/>
  <c r="AK68" i="35"/>
  <c r="G74" i="35"/>
  <c r="F69" i="35"/>
  <c r="G69" i="35"/>
  <c r="H74" i="35"/>
  <c r="I68" i="35"/>
  <c r="AA74" i="35"/>
  <c r="Z69" i="35"/>
  <c r="AA69" i="35"/>
  <c r="AF74" i="35"/>
  <c r="AE69" i="35"/>
  <c r="AF69" i="35"/>
  <c r="Y68" i="35"/>
  <c r="X74" i="35"/>
  <c r="O68" i="35"/>
  <c r="N74" i="35"/>
  <c r="AC74" i="35"/>
  <c r="AB69" i="35"/>
  <c r="AC69" i="35"/>
  <c r="M74" i="35"/>
  <c r="L69" i="35"/>
  <c r="M69" i="35"/>
  <c r="Q74" i="35"/>
  <c r="P69" i="35"/>
  <c r="Q69" i="35"/>
  <c r="T69" i="35"/>
  <c r="U69" i="35"/>
  <c r="G10" i="30"/>
  <c r="E17" i="30"/>
  <c r="E55" i="35"/>
  <c r="D54" i="35"/>
  <c r="J69" i="35"/>
  <c r="K69" i="35"/>
  <c r="O74" i="35"/>
  <c r="N69" i="35"/>
  <c r="O69" i="35"/>
  <c r="I74" i="35"/>
  <c r="H69" i="35"/>
  <c r="I69" i="35"/>
  <c r="AK74" i="35"/>
  <c r="AJ69" i="35"/>
  <c r="AK69" i="35"/>
  <c r="Y74" i="35"/>
  <c r="X69" i="35"/>
  <c r="Y69" i="35"/>
  <c r="G17" i="30"/>
  <c r="E23" i="30"/>
  <c r="E54" i="35"/>
  <c r="D35" i="35"/>
  <c r="G23" i="30"/>
  <c r="E18" i="30"/>
  <c r="G18" i="30"/>
  <c r="E35" i="35"/>
  <c r="D36" i="35"/>
  <c r="E36" i="35"/>
  <c r="D62" i="35"/>
  <c r="D68" i="35"/>
  <c r="E62" i="35"/>
  <c r="D63" i="35"/>
  <c r="E63" i="35"/>
  <c r="D74" i="35"/>
  <c r="E68" i="35"/>
  <c r="E74" i="35"/>
  <c r="D69" i="35"/>
  <c r="E69" i="35"/>
  <c r="F85" i="39"/>
  <c r="E83" i="39"/>
  <c r="E88" i="39"/>
  <c r="E91" i="39"/>
  <c r="F91" i="39"/>
  <c r="E82" i="39"/>
  <c r="F82" i="39"/>
  <c r="F83" i="39"/>
  <c r="F89" i="39"/>
  <c r="F88"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milos.popovic</author>
  </authors>
  <commentList>
    <comment ref="Z14" authorId="0" shapeId="0" xr:uid="{00000000-0006-0000-0000-000001000000}">
      <text>
        <r>
          <rPr>
            <b/>
            <sz val="9"/>
            <color indexed="81"/>
            <rFont val="Tahoma"/>
            <family val="2"/>
          </rPr>
          <t>milos.popovic:</t>
        </r>
        <r>
          <rPr>
            <sz val="9"/>
            <color indexed="81"/>
            <rFont val="Tahoma"/>
            <family val="2"/>
          </rPr>
          <t xml:space="preserve">
Neporeski prihodi su dobro planirani, pa sam ih vezao za plan iz budžeta</t>
        </r>
      </text>
    </comment>
    <comment ref="AB14" authorId="0" shapeId="0" xr:uid="{00000000-0006-0000-0000-000002000000}">
      <text>
        <r>
          <rPr>
            <b/>
            <sz val="9"/>
            <color indexed="81"/>
            <rFont val="Tahoma"/>
            <family val="2"/>
          </rPr>
          <t>milos.popovic:</t>
        </r>
        <r>
          <rPr>
            <sz val="9"/>
            <color indexed="81"/>
            <rFont val="Tahoma"/>
            <family val="2"/>
          </rPr>
          <t xml:space="preserve">
Neporeski prihodi su dobro planirani, pa sam ih vezao za plan iz budžeta</t>
        </r>
      </text>
    </comment>
    <comment ref="V16" authorId="0" shapeId="0" xr:uid="{00000000-0006-0000-0000-000003000000}">
      <text>
        <r>
          <rPr>
            <b/>
            <sz val="9"/>
            <color indexed="81"/>
            <rFont val="Tahoma"/>
            <family val="2"/>
          </rPr>
          <t>milos.popovic:</t>
        </r>
        <r>
          <rPr>
            <sz val="9"/>
            <color indexed="81"/>
            <rFont val="Tahoma"/>
            <family val="2"/>
          </rPr>
          <t xml:space="preserve">
Korekcije</t>
        </r>
      </text>
    </comment>
    <comment ref="W16" authorId="0" shapeId="0" xr:uid="{00000000-0006-0000-0000-000004000000}">
      <text>
        <r>
          <rPr>
            <b/>
            <sz val="9"/>
            <color indexed="81"/>
            <rFont val="Tahoma"/>
            <family val="2"/>
            <charset val="238"/>
          </rPr>
          <t>milos.popovic:</t>
        </r>
        <r>
          <rPr>
            <sz val="9"/>
            <color indexed="81"/>
            <rFont val="Tahoma"/>
            <family val="2"/>
            <charset val="238"/>
          </rPr>
          <t xml:space="preserve">
Prihodi dodati na Skupštini</t>
        </r>
      </text>
    </comment>
    <comment ref="AF18" authorId="0" shapeId="0" xr:uid="{00000000-0006-0000-0000-000005000000}">
      <text>
        <r>
          <rPr>
            <b/>
            <sz val="9"/>
            <color indexed="81"/>
            <rFont val="Tahoma"/>
            <family val="2"/>
            <charset val="238"/>
          </rPr>
          <t>milos.popovic:</t>
        </r>
        <r>
          <rPr>
            <sz val="9"/>
            <color indexed="81"/>
            <rFont val="Tahoma"/>
            <family val="2"/>
            <charset val="238"/>
          </rPr>
          <t xml:space="preserve">
Prestanak važenja kriznog poreza na zarade</t>
        </r>
      </text>
    </comment>
    <comment ref="V19" authorId="0" shapeId="0" xr:uid="{00000000-0006-0000-0000-000006000000}">
      <text>
        <r>
          <rPr>
            <b/>
            <sz val="9"/>
            <color indexed="81"/>
            <rFont val="Tahoma"/>
            <family val="2"/>
          </rPr>
          <t>milos.popovic:</t>
        </r>
        <r>
          <rPr>
            <sz val="9"/>
            <color indexed="81"/>
            <rFont val="Tahoma"/>
            <family val="2"/>
          </rPr>
          <t xml:space="preserve">
Borba protiv sive ekonomije + bolje poslovanje preduzeća u prethodnoj godini, usloviće rast veći od opšteg rasta prihoda zbog čega je neophodna korekcija.
6,6 mil. € više od plana i oko 9,5 mil. € više nego prošle godine (na kraju marta ostvarenje je 7,3 mil. € veće od plana)
</t>
        </r>
        <r>
          <rPr>
            <i/>
            <sz val="9"/>
            <color indexed="81"/>
            <rFont val="Tahoma"/>
            <family val="2"/>
          </rPr>
          <t>!!Opšti rast prihoda je niži od stope realnog rasta</t>
        </r>
      </text>
    </comment>
    <comment ref="V21" authorId="0" shapeId="0" xr:uid="{00000000-0006-0000-0000-000007000000}">
      <text>
        <r>
          <rPr>
            <b/>
            <sz val="9"/>
            <color indexed="81"/>
            <rFont val="Tahoma"/>
            <family val="2"/>
          </rPr>
          <t>milos.popovic:</t>
        </r>
        <r>
          <rPr>
            <sz val="9"/>
            <color indexed="81"/>
            <rFont val="Tahoma"/>
            <family val="2"/>
          </rPr>
          <t xml:space="preserve">
Efekat povećanja stope + borba protiv sive ekonomije
Oko 18 mil. € veće od plana. Ostvarenje na kraju marta je da su prihodi od PDVa za 10,5 mil. veći od plana.</t>
        </r>
      </text>
    </comment>
    <comment ref="V22" authorId="0" shapeId="0" xr:uid="{00000000-0006-0000-0000-000008000000}">
      <text>
        <r>
          <rPr>
            <b/>
            <sz val="9"/>
            <color indexed="81"/>
            <rFont val="Tahoma"/>
            <family val="2"/>
          </rPr>
          <t>milos.popovic:</t>
        </r>
        <r>
          <rPr>
            <sz val="9"/>
            <color indexed="81"/>
            <rFont val="Tahoma"/>
            <family val="2"/>
          </rPr>
          <t xml:space="preserve">
Efekat povećanja akcizne stope - potvrditi kod Jovice P iz Poreza i mjere suzbijanja sive ekonomije.
Jovica rekao da sačekamo još 2-3 dana. 2-3 da ga zovnemo.</t>
        </r>
      </text>
    </comment>
    <comment ref="AF22" authorId="0" shapeId="0" xr:uid="{00000000-0006-0000-0000-000009000000}">
      <text>
        <r>
          <rPr>
            <b/>
            <sz val="9"/>
            <color indexed="81"/>
            <rFont val="Tahoma"/>
            <family val="2"/>
          </rPr>
          <t xml:space="preserve">milos.popovic:
</t>
        </r>
        <r>
          <rPr>
            <sz val="9"/>
            <color indexed="81"/>
            <rFont val="Tahoma"/>
            <family val="2"/>
          </rPr>
          <t>Efekat povecanja stope akcize kao rezultat procesa pridruživanja EU</t>
        </r>
      </text>
    </comment>
    <comment ref="V23" authorId="0" shapeId="0" xr:uid="{00000000-0006-0000-0000-00000A000000}">
      <text>
        <r>
          <rPr>
            <b/>
            <sz val="9"/>
            <color indexed="81"/>
            <rFont val="Tahoma"/>
            <family val="2"/>
          </rPr>
          <t>milos.popovic:</t>
        </r>
        <r>
          <rPr>
            <sz val="9"/>
            <color indexed="81"/>
            <rFont val="Tahoma"/>
            <family val="2"/>
          </rPr>
          <t xml:space="preserve">
Bez obzira na rast uvoza, prihodi od carina će biti niži od planiranih zbog liberalizacije tržišta</t>
        </r>
      </text>
    </comment>
    <comment ref="V26" authorId="0" shapeId="0" xr:uid="{00000000-0006-0000-0000-00000B000000}">
      <text>
        <r>
          <rPr>
            <b/>
            <sz val="9"/>
            <color indexed="81"/>
            <rFont val="Tahoma"/>
            <family val="2"/>
            <charset val="238"/>
          </rPr>
          <t>milos.popovic:</t>
        </r>
        <r>
          <rPr>
            <sz val="9"/>
            <color indexed="81"/>
            <rFont val="Tahoma"/>
            <family val="2"/>
            <charset val="238"/>
          </rPr>
          <t xml:space="preserve">
15 mil. € je procjena veća od plana, zbog čega ne treba da stoji korekcija.
Ostvarenje na kraju marta je da smo prihodovali 7,6 mil. € više od plana..</t>
        </r>
      </text>
    </comment>
    <comment ref="V27" authorId="0" shapeId="0" xr:uid="{00000000-0006-0000-0000-00000C000000}">
      <text>
        <r>
          <rPr>
            <b/>
            <sz val="9"/>
            <color indexed="81"/>
            <rFont val="Tahoma"/>
            <family val="2"/>
          </rPr>
          <t>milos.popovic:</t>
        </r>
        <r>
          <rPr>
            <sz val="9"/>
            <color indexed="81"/>
            <rFont val="Tahoma"/>
            <family val="2"/>
          </rPr>
          <t xml:space="preserve">
Zbog izvršenja i rasta prihoda od 1,2 mil. €</t>
        </r>
      </text>
    </comment>
    <comment ref="V32" authorId="0" shapeId="0" xr:uid="{00000000-0006-0000-0000-00000D000000}">
      <text>
        <r>
          <rPr>
            <b/>
            <sz val="9"/>
            <color indexed="81"/>
            <rFont val="Tahoma"/>
            <family val="2"/>
          </rPr>
          <t>milos.popovic:</t>
        </r>
        <r>
          <rPr>
            <sz val="9"/>
            <color indexed="81"/>
            <rFont val="Tahoma"/>
            <family val="2"/>
          </rPr>
          <t xml:space="preserve">
Od početka ovi prihodi 'vuku rast' od 1 mil. €. Razlog se još uvijek ne zna..</t>
        </r>
      </text>
    </comment>
    <comment ref="V34" authorId="0" shapeId="0" xr:uid="{00000000-0006-0000-0000-00000E000000}">
      <text>
        <r>
          <rPr>
            <b/>
            <sz val="9"/>
            <color indexed="81"/>
            <rFont val="Tahoma"/>
            <family val="2"/>
          </rPr>
          <t>milos.popovic:</t>
        </r>
        <r>
          <rPr>
            <sz val="9"/>
            <color indexed="81"/>
            <rFont val="Tahoma"/>
            <family val="2"/>
          </rPr>
          <t xml:space="preserve">
Efekat ukidanja takse za SIM kartice, električna brojila i kablovsku televiziju</t>
        </r>
      </text>
    </comment>
    <comment ref="V43" authorId="0" shapeId="0" xr:uid="{00000000-0006-0000-0000-00000F000000}">
      <text>
        <r>
          <rPr>
            <b/>
            <sz val="9"/>
            <color indexed="81"/>
            <rFont val="Tahoma"/>
            <family val="2"/>
          </rPr>
          <t>milos.popovic:</t>
        </r>
        <r>
          <rPr>
            <sz val="9"/>
            <color indexed="81"/>
            <rFont val="Tahoma"/>
            <family val="2"/>
          </rPr>
          <t xml:space="preserve">
Od početka godine bilježi se rast ovih prihoda, a ako bude usvojen Zakon o zaradama u javnom sektoru, sav višak koji državne kompanije i regulatorna tijela budu ostvarivali, uplaćivaće se u državni budžet</t>
        </r>
      </text>
    </comment>
    <comment ref="V44" authorId="0" shapeId="0" xr:uid="{00000000-0006-0000-0000-000010000000}">
      <text>
        <r>
          <rPr>
            <b/>
            <sz val="9"/>
            <color indexed="81"/>
            <rFont val="Tahoma"/>
            <family val="2"/>
          </rPr>
          <t>milos.popovic:</t>
        </r>
        <r>
          <rPr>
            <sz val="9"/>
            <color indexed="81"/>
            <rFont val="Tahoma"/>
            <family val="2"/>
          </rPr>
          <t xml:space="preserve">
Zbog dobrog trenda naplate u dosadašnjem dijelu godine i očekivanog poboljšanja posebno tokom ljetnje turističke sezone</t>
        </r>
      </text>
    </comment>
    <comment ref="V46" authorId="0" shapeId="0" xr:uid="{00000000-0006-0000-0000-000011000000}">
      <text>
        <r>
          <rPr>
            <b/>
            <sz val="9"/>
            <color indexed="81"/>
            <rFont val="Tahoma"/>
            <family val="2"/>
          </rPr>
          <t>milos.popovic:</t>
        </r>
        <r>
          <rPr>
            <sz val="9"/>
            <color indexed="81"/>
            <rFont val="Tahoma"/>
            <family val="2"/>
          </rPr>
          <t xml:space="preserve">
Od početka godine se 'vuče' zaostatak od oko 1 mil. €. Nepoznat razlog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milos.popovic</author>
  </authors>
  <commentList>
    <comment ref="X14" authorId="0" shapeId="0" xr:uid="{00000000-0006-0000-0200-000001000000}">
      <text>
        <r>
          <rPr>
            <b/>
            <sz val="9"/>
            <color indexed="81"/>
            <rFont val="Tahoma"/>
            <family val="2"/>
          </rPr>
          <t>milos.popovic:</t>
        </r>
        <r>
          <rPr>
            <sz val="9"/>
            <color indexed="81"/>
            <rFont val="Tahoma"/>
            <family val="2"/>
          </rPr>
          <t xml:space="preserve">
Neporeski prihodi su dobro planirani, pa sam ih vezao za plan iz budžeta</t>
        </r>
      </text>
    </comment>
    <comment ref="Z14" authorId="0" shapeId="0" xr:uid="{00000000-0006-0000-0200-000002000000}">
      <text>
        <r>
          <rPr>
            <b/>
            <sz val="9"/>
            <color indexed="81"/>
            <rFont val="Tahoma"/>
            <family val="2"/>
          </rPr>
          <t>milos.popovic:</t>
        </r>
        <r>
          <rPr>
            <sz val="9"/>
            <color indexed="81"/>
            <rFont val="Tahoma"/>
            <family val="2"/>
          </rPr>
          <t xml:space="preserve">
Neporeski prihodi su dobro planirani, pa sam ih vezao za plan iz budžeta</t>
        </r>
      </text>
    </comment>
    <comment ref="V16" authorId="0" shapeId="0" xr:uid="{00000000-0006-0000-0200-000003000000}">
      <text>
        <r>
          <rPr>
            <b/>
            <sz val="9"/>
            <color indexed="81"/>
            <rFont val="Tahoma"/>
            <family val="2"/>
          </rPr>
          <t>milos.popovic:</t>
        </r>
        <r>
          <rPr>
            <sz val="9"/>
            <color indexed="81"/>
            <rFont val="Tahoma"/>
            <family val="2"/>
          </rPr>
          <t xml:space="preserve">
Korekcije</t>
        </r>
      </text>
    </comment>
    <comment ref="W16" authorId="0" shapeId="0" xr:uid="{00000000-0006-0000-0200-000004000000}">
      <text>
        <r>
          <rPr>
            <b/>
            <sz val="9"/>
            <color indexed="81"/>
            <rFont val="Tahoma"/>
            <family val="2"/>
            <charset val="238"/>
          </rPr>
          <t>milos.popovic:</t>
        </r>
        <r>
          <rPr>
            <sz val="9"/>
            <color indexed="81"/>
            <rFont val="Tahoma"/>
            <family val="2"/>
            <charset val="238"/>
          </rPr>
          <t xml:space="preserve">
Prihodi dodati na Skupštini</t>
        </r>
      </text>
    </comment>
    <comment ref="AD18" authorId="0" shapeId="0" xr:uid="{00000000-0006-0000-0200-000005000000}">
      <text>
        <r>
          <rPr>
            <b/>
            <sz val="9"/>
            <color indexed="81"/>
            <rFont val="Tahoma"/>
            <family val="2"/>
            <charset val="238"/>
          </rPr>
          <t>milos.popovic:</t>
        </r>
        <r>
          <rPr>
            <sz val="9"/>
            <color indexed="81"/>
            <rFont val="Tahoma"/>
            <family val="2"/>
            <charset val="238"/>
          </rPr>
          <t xml:space="preserve">
Prestanak važenja kriznog poreza na zarade</t>
        </r>
      </text>
    </comment>
    <comment ref="V19" authorId="0" shapeId="0" xr:uid="{00000000-0006-0000-0200-000006000000}">
      <text>
        <r>
          <rPr>
            <b/>
            <sz val="9"/>
            <color indexed="81"/>
            <rFont val="Tahoma"/>
            <family val="2"/>
          </rPr>
          <t>milos.popovic:</t>
        </r>
        <r>
          <rPr>
            <sz val="9"/>
            <color indexed="81"/>
            <rFont val="Tahoma"/>
            <family val="2"/>
          </rPr>
          <t xml:space="preserve">
Borba protiv sive ekonomije + bolje poslovanje preduzeća u prethodnoj godini, usloviće rast veći od opšteg rasta prihoda zbog čega je neophodna korekcija.
6,6 mil. € više od plana i oko 9,5 mil. € više nego prošle godine (na kraju marta ostvarenje je 7,3 mil. € veće od plana)
</t>
        </r>
        <r>
          <rPr>
            <i/>
            <sz val="9"/>
            <color indexed="81"/>
            <rFont val="Tahoma"/>
            <family val="2"/>
          </rPr>
          <t>!!Opšti rast prihoda je niži od stope realnog rasta</t>
        </r>
      </text>
    </comment>
    <comment ref="V21" authorId="0" shapeId="0" xr:uid="{00000000-0006-0000-0200-000007000000}">
      <text>
        <r>
          <rPr>
            <b/>
            <sz val="9"/>
            <color indexed="81"/>
            <rFont val="Tahoma"/>
            <family val="2"/>
          </rPr>
          <t>milos.popovic:</t>
        </r>
        <r>
          <rPr>
            <sz val="9"/>
            <color indexed="81"/>
            <rFont val="Tahoma"/>
            <family val="2"/>
          </rPr>
          <t xml:space="preserve">
Efekat povećanja stope + borba protiv sive ekonomije
Oko 18 mil. € veće od plana. Ostvarenje na kraju marta je da su prihodi od PDVa za 10,5 mil. veći od plana.</t>
        </r>
      </text>
    </comment>
    <comment ref="V22" authorId="0" shapeId="0" xr:uid="{00000000-0006-0000-0200-000008000000}">
      <text>
        <r>
          <rPr>
            <b/>
            <sz val="9"/>
            <color indexed="81"/>
            <rFont val="Tahoma"/>
            <family val="2"/>
          </rPr>
          <t>milos.popovic:</t>
        </r>
        <r>
          <rPr>
            <sz val="9"/>
            <color indexed="81"/>
            <rFont val="Tahoma"/>
            <family val="2"/>
          </rPr>
          <t xml:space="preserve">
Efekat povećanja akcizne stope - potvrditi kod Jovice P iz Poreza i mjere suzbijanja sive ekonomije.
Jovica rekao da sačekamo još 2-3 dana. 2-3 da ga zovnemo.</t>
        </r>
      </text>
    </comment>
    <comment ref="AD22" authorId="0" shapeId="0" xr:uid="{00000000-0006-0000-0200-000009000000}">
      <text>
        <r>
          <rPr>
            <b/>
            <sz val="9"/>
            <color indexed="81"/>
            <rFont val="Tahoma"/>
            <family val="2"/>
          </rPr>
          <t xml:space="preserve">milos.popovic:
</t>
        </r>
        <r>
          <rPr>
            <sz val="9"/>
            <color indexed="81"/>
            <rFont val="Tahoma"/>
            <family val="2"/>
          </rPr>
          <t>Efekat povecanja stope akcize kao rezultat procesa pridruživanja EU</t>
        </r>
      </text>
    </comment>
    <comment ref="V23" authorId="0" shapeId="0" xr:uid="{00000000-0006-0000-0200-00000A000000}">
      <text>
        <r>
          <rPr>
            <b/>
            <sz val="9"/>
            <color indexed="81"/>
            <rFont val="Tahoma"/>
            <family val="2"/>
          </rPr>
          <t>milos.popovic:</t>
        </r>
        <r>
          <rPr>
            <sz val="9"/>
            <color indexed="81"/>
            <rFont val="Tahoma"/>
            <family val="2"/>
          </rPr>
          <t xml:space="preserve">
Bez obzira na rast uvoza, prihodi od carina će biti niži od planiranih zbog liberalizacije tržišta</t>
        </r>
      </text>
    </comment>
    <comment ref="V27" authorId="0" shapeId="0" xr:uid="{00000000-0006-0000-0200-00000B000000}">
      <text>
        <r>
          <rPr>
            <b/>
            <sz val="9"/>
            <color indexed="81"/>
            <rFont val="Tahoma"/>
            <family val="2"/>
            <charset val="238"/>
          </rPr>
          <t>milos.popovic:</t>
        </r>
        <r>
          <rPr>
            <sz val="9"/>
            <color indexed="81"/>
            <rFont val="Tahoma"/>
            <family val="2"/>
            <charset val="238"/>
          </rPr>
          <t xml:space="preserve">
15 mil. € je procjena veća od plana, zbog čega ne treba da stoji korekcija.
Ostvarenje na kraju marta je da smo prihodovali 7,6 mil. € više od plana..</t>
        </r>
      </text>
    </comment>
    <comment ref="V28" authorId="0" shapeId="0" xr:uid="{00000000-0006-0000-0200-00000C000000}">
      <text>
        <r>
          <rPr>
            <b/>
            <sz val="9"/>
            <color indexed="81"/>
            <rFont val="Tahoma"/>
            <family val="2"/>
          </rPr>
          <t>milos.popovic:</t>
        </r>
        <r>
          <rPr>
            <sz val="9"/>
            <color indexed="81"/>
            <rFont val="Tahoma"/>
            <family val="2"/>
          </rPr>
          <t xml:space="preserve">
Zbog izvršenja i rasta prihoda od 1,2 mil. €</t>
        </r>
      </text>
    </comment>
  </commentList>
</comments>
</file>

<file path=xl/sharedStrings.xml><?xml version="1.0" encoding="utf-8"?>
<sst xmlns="http://schemas.openxmlformats.org/spreadsheetml/2006/main" count="1648" uniqueCount="626">
  <si>
    <t>Otplata duga</t>
  </si>
  <si>
    <t>Current revenues</t>
  </si>
  <si>
    <t>Porezi</t>
  </si>
  <si>
    <t>Porez na dohodak fizičkih lica</t>
  </si>
  <si>
    <t>Personal Income Tax</t>
  </si>
  <si>
    <t>Porez na dobit pravnih lica</t>
  </si>
  <si>
    <t>Tax on Profits of Legal Persons</t>
  </si>
  <si>
    <t>Porez na promet nepokretnosti</t>
  </si>
  <si>
    <t xml:space="preserve">Taxes on Property </t>
  </si>
  <si>
    <t>Porez na dodatu vrijednost</t>
  </si>
  <si>
    <t>Value Added Tax</t>
  </si>
  <si>
    <t>Lokalni porezi</t>
  </si>
  <si>
    <t>Akcize</t>
  </si>
  <si>
    <t>Excises</t>
  </si>
  <si>
    <t>Porez na međunarodnu trgovinu i transakcije</t>
  </si>
  <si>
    <t>Tax on International Trade and Transactions</t>
  </si>
  <si>
    <t>Ostali republički porezi</t>
  </si>
  <si>
    <t>Ostali republički prihodi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</si>
  <si>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</si>
  <si>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</si>
  <si>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</si>
  <si>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</si>
  <si>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</si>
  <si>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</si>
  <si>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</si>
  <si>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</si>
  <si>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Insurance from Unemployment</t>
  </si>
  <si>
    <t>Ostali doprinosi</t>
  </si>
  <si>
    <t>Other contributions</t>
  </si>
  <si>
    <t>Takse</t>
  </si>
  <si>
    <t>Duties</t>
  </si>
  <si>
    <t>Administrativne takse</t>
  </si>
  <si>
    <t>Sudske takse</t>
  </si>
  <si>
    <t>Court duties</t>
  </si>
  <si>
    <t>Boravišne takse</t>
  </si>
  <si>
    <t>Residential duty</t>
  </si>
  <si>
    <t>Lokalne komunalne takse</t>
  </si>
  <si>
    <t>Ostale takse</t>
  </si>
  <si>
    <t>Other duties</t>
  </si>
  <si>
    <t>Naknade</t>
  </si>
  <si>
    <t>Naknade za korišćenje dobara od opšteg interesa</t>
  </si>
  <si>
    <t>Fees for use of goods of common interest</t>
  </si>
  <si>
    <t>Naknade za korišćenje prirodnih dobara</t>
  </si>
  <si>
    <t>Fees for use of natural resources</t>
  </si>
  <si>
    <t>Naknade za korišćenje građevinskog zemljišta</t>
  </si>
  <si>
    <t>Ekološke naknade</t>
  </si>
  <si>
    <t>Ecological fees</t>
  </si>
  <si>
    <t>Naknade za priređivanje igara na sreću</t>
  </si>
  <si>
    <t>Fee for organizing games of chance</t>
  </si>
  <si>
    <t>Naknade za lokalne puteve</t>
  </si>
  <si>
    <t>Naknada za puteve</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</si>
  <si>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</si>
  <si>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</si>
  <si>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</si>
  <si>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</si>
  <si>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</si>
  <si>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</si>
  <si>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</si>
  <si>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</si>
  <si>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</si>
  <si>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own activities of government bodies</t>
  </si>
  <si>
    <t xml:space="preserve">Receipts from repayment of loans and funds carried over from previous year </t>
  </si>
  <si>
    <t>Izdaci</t>
  </si>
  <si>
    <t>Tekući izdaci</t>
  </si>
  <si>
    <t>Bruto zarade i doprinosi na teret poslodavca</t>
  </si>
  <si>
    <t>Gross salaries and contributions charged to employer</t>
  </si>
  <si>
    <t>Neto zarade</t>
  </si>
  <si>
    <t>Net salaries</t>
  </si>
  <si>
    <t>Porez na zarade</t>
  </si>
  <si>
    <t>Personal income tax</t>
  </si>
  <si>
    <t>Doprinosi na teret zaposlenog</t>
  </si>
  <si>
    <t>Contributions charged to employee</t>
  </si>
  <si>
    <t>Doprinosi na teret poslodavca</t>
  </si>
  <si>
    <t>Contributions charged to employer</t>
  </si>
  <si>
    <t>Prirez na porez</t>
  </si>
  <si>
    <t>Ostala lična primanja</t>
  </si>
  <si>
    <t>Other personal income</t>
  </si>
  <si>
    <t>Rashodi za materijal i usluge</t>
  </si>
  <si>
    <t>Expenditures for supplies and services</t>
  </si>
  <si>
    <t>Tekuće održavanje</t>
  </si>
  <si>
    <t>Kamate</t>
  </si>
  <si>
    <t>Interests</t>
  </si>
  <si>
    <t>Renta</t>
  </si>
  <si>
    <t>Rent</t>
  </si>
  <si>
    <t>Subvencije</t>
  </si>
  <si>
    <t>Subsidies</t>
  </si>
  <si>
    <t>Ostali izdaci</t>
  </si>
  <si>
    <t>Transferi za socijalnu zaštitu</t>
  </si>
  <si>
    <t>Social security transfers</t>
  </si>
  <si>
    <t>Prava iz oblasti socijalne zaštite</t>
  </si>
  <si>
    <t>Social security related rights</t>
  </si>
  <si>
    <t>Sredstva za tehnološke viškove</t>
  </si>
  <si>
    <t>Funds for redundant labor</t>
  </si>
  <si>
    <t>Prava iz oblasti penzijskog i invalidskog osiguranja</t>
  </si>
  <si>
    <t>Pension and disability insurance rights</t>
  </si>
  <si>
    <t>Ostala prava iz oblasti zdravstvene zaštite</t>
  </si>
  <si>
    <t>Other rights related to health care</t>
  </si>
  <si>
    <t>Ostala prava iz oblasti zdravstvenog osiguranja</t>
  </si>
  <si>
    <t>Other rights related to health care insurance</t>
  </si>
  <si>
    <t>Transferi inst. pojedinicima NVO i javnom sektoru</t>
  </si>
  <si>
    <t>Transferi institucijama pojedinicima nevladinom i javnom sektoru</t>
  </si>
  <si>
    <t xml:space="preserve">Transfers to institutions, individuals, NGO and public sector </t>
  </si>
  <si>
    <t>Transferi javnim institucijama</t>
  </si>
  <si>
    <t>Transfers to public institutions</t>
  </si>
  <si>
    <t>Transferi nevladinim organizacijama</t>
  </si>
  <si>
    <t>Transfers to NGOs</t>
  </si>
  <si>
    <t>Transferi pojedincima</t>
  </si>
  <si>
    <t>Transfers to individuals</t>
  </si>
  <si>
    <t>Transferi opštinama</t>
  </si>
  <si>
    <t>Transferi javnim preduzećima</t>
  </si>
  <si>
    <t>Kapitalni budžet CG</t>
  </si>
  <si>
    <t>Pozajmice i krediti</t>
  </si>
  <si>
    <t>Loans and credits</t>
  </si>
  <si>
    <t>Otplata garancija</t>
  </si>
  <si>
    <t>Repayment of guarantees</t>
  </si>
  <si>
    <t>Otplata neizmirenih obaveza iz prethodnog perioda</t>
  </si>
  <si>
    <t>Otplata obaveza iz prethodnog perioda</t>
  </si>
  <si>
    <t>Repayment of liabilities from previous years</t>
  </si>
  <si>
    <t>Rezerve</t>
  </si>
  <si>
    <t>Reserves</t>
  </si>
  <si>
    <t>Deficit</t>
  </si>
  <si>
    <t>Finansiranje</t>
  </si>
  <si>
    <t>Pozajmice i krediti iz inostranih izvora</t>
  </si>
  <si>
    <t>Donacije</t>
  </si>
  <si>
    <t>Prihodi od privatizacije i prodaje imovine</t>
  </si>
  <si>
    <t>Povećanje/smanjenje depozita</t>
  </si>
  <si>
    <t>Tekuća budžetska potrošnja</t>
  </si>
  <si>
    <t>Budžet Crne Gore</t>
  </si>
  <si>
    <t>Izvorni prihodi</t>
  </si>
  <si>
    <t>Prirez na porez na dohodak</t>
  </si>
  <si>
    <t>Kapitalni izdaci u tekućem budžetu</t>
  </si>
  <si>
    <t>Kapitalni budžet</t>
  </si>
  <si>
    <t>Suficit/ Deficit</t>
  </si>
  <si>
    <t>Primarni deficit</t>
  </si>
  <si>
    <t>Repayment of debt</t>
  </si>
  <si>
    <t>Otplata duga rezidentima</t>
  </si>
  <si>
    <t>Repayment of principal to residents</t>
  </si>
  <si>
    <t>Otplata duga nerezidentima</t>
  </si>
  <si>
    <t>Repayment of principal to nonresidents</t>
  </si>
  <si>
    <t>Repayment of Arrears</t>
  </si>
  <si>
    <t>Repayment of Garantees</t>
  </si>
  <si>
    <t>Nedostajuća sredstva</t>
  </si>
  <si>
    <t>Financing needs</t>
  </si>
  <si>
    <t xml:space="preserve">Financing </t>
  </si>
  <si>
    <t>Pozajmice i krediti iz domaćih izvora</t>
  </si>
  <si>
    <t>Borrowings and credits from domestic sources</t>
  </si>
  <si>
    <t>Borrowings and credits from foreign sources</t>
  </si>
  <si>
    <t>Grants</t>
  </si>
  <si>
    <t>Privatisation revenues</t>
  </si>
  <si>
    <t>Increase/Decrease of deposits</t>
  </si>
  <si>
    <t>% BDP</t>
  </si>
  <si>
    <t>Current maintenace</t>
  </si>
  <si>
    <t>Neto povećanje obaveza</t>
  </si>
  <si>
    <t xml:space="preserve"> % BDP</t>
  </si>
  <si>
    <t>Opštinski prirez</t>
  </si>
  <si>
    <t>Kapitalni izdaci Tekućeg budžeta i Državnih fondova</t>
  </si>
  <si>
    <t>Transferi instit. pojed. NVO i javnom sektoru</t>
  </si>
  <si>
    <t>Kapitalni budžet lokalne samouprave</t>
  </si>
  <si>
    <t>Otplata glavnice rezidentima</t>
  </si>
  <si>
    <t>Otplata glavnice nerezidentima</t>
  </si>
  <si>
    <t>Otplata  obaveza iz prethodnog perioda</t>
  </si>
  <si>
    <t>Korišćenje depozita države</t>
  </si>
  <si>
    <t>Naknade za komunalno opremanje građevinskog zemljišta</t>
  </si>
  <si>
    <t>Kapitalni budzet lokalne samouprave</t>
  </si>
  <si>
    <t>Korišćenje depozita lokalne samouprave</t>
  </si>
  <si>
    <t>Transferi iz budžeta CG</t>
  </si>
  <si>
    <t>% GDP</t>
  </si>
  <si>
    <t>Taxes</t>
  </si>
  <si>
    <t>Fees</t>
  </si>
  <si>
    <t xml:space="preserve">Road fees </t>
  </si>
  <si>
    <t>Current budget expenditures</t>
  </si>
  <si>
    <t>Crnogorski</t>
  </si>
  <si>
    <t>English</t>
  </si>
  <si>
    <t>Transfers to municipalities</t>
  </si>
  <si>
    <t>Transfers to public enterprises</t>
  </si>
  <si>
    <t>Administrative duties</t>
  </si>
  <si>
    <t>Capital budget of Montenegro</t>
  </si>
  <si>
    <t xml:space="preserve">Net increse of liabilities </t>
  </si>
  <si>
    <t>Primary deficit</t>
  </si>
  <si>
    <t>Surtax on PIT</t>
  </si>
  <si>
    <t>Capital outlows of current budget</t>
  </si>
  <si>
    <t>Macroeconomic indicators</t>
  </si>
  <si>
    <t>GDP nominal growth</t>
  </si>
  <si>
    <t>GDP real growth</t>
  </si>
  <si>
    <t>Inflation</t>
  </si>
  <si>
    <t>Import</t>
  </si>
  <si>
    <t>Export</t>
  </si>
  <si>
    <t>Other</t>
  </si>
  <si>
    <t>Current account deficit</t>
  </si>
  <si>
    <t>Domestic loans</t>
  </si>
  <si>
    <t>Fiscal indicators</t>
  </si>
  <si>
    <t>Current public revenues</t>
  </si>
  <si>
    <t>Public expenditure</t>
  </si>
  <si>
    <t>Interest</t>
  </si>
  <si>
    <t>Primary deficit/surplus</t>
  </si>
  <si>
    <t>Government debt</t>
  </si>
  <si>
    <t>Welcome tab</t>
  </si>
  <si>
    <t>MONTENEGRO</t>
  </si>
  <si>
    <t>MINISTRY OF FINANCE</t>
  </si>
  <si>
    <t>CRNA GORA</t>
  </si>
  <si>
    <t>MINISTARSTVO FINANSIJA</t>
  </si>
  <si>
    <t xml:space="preserve">   Javni dug (% BDP)</t>
  </si>
  <si>
    <t xml:space="preserve">   Public debt (% GDP)</t>
  </si>
  <si>
    <t xml:space="preserve">   Javna potrošnja (% BDP)</t>
  </si>
  <si>
    <t>Ažurirano:</t>
  </si>
  <si>
    <t>Updated:</t>
  </si>
  <si>
    <t>Broj stanovnika (Popis 2011)</t>
  </si>
  <si>
    <t>Population (Census 2011)</t>
  </si>
  <si>
    <t>Površina (km²)</t>
  </si>
  <si>
    <t xml:space="preserve">   Inflacija (%)</t>
  </si>
  <si>
    <t xml:space="preserve">   Inflation (%)</t>
  </si>
  <si>
    <t>BDP (mil. €)*</t>
  </si>
  <si>
    <t>Royal Capital</t>
  </si>
  <si>
    <t>Glavni grad</t>
  </si>
  <si>
    <t>Prijestonica</t>
  </si>
  <si>
    <t>Capital</t>
  </si>
  <si>
    <t>Valuta</t>
  </si>
  <si>
    <t>Currency</t>
  </si>
  <si>
    <t>Notice: The information is provided in English and in Montenegrin language</t>
  </si>
  <si>
    <t>Napomena: Informacija je urađena je na engleskom i crnogorskom jeziku</t>
  </si>
  <si>
    <t>*data represent Ministry of Finance forecast</t>
  </si>
  <si>
    <t>Izvor: ZZZ, Monstat, Ministarstvo finansija</t>
  </si>
  <si>
    <t>Source: Employment Office, Monstat, Ministry of Finance</t>
  </si>
  <si>
    <t>Makroekonomski pokazatelji</t>
  </si>
  <si>
    <t>Nominalni rast BDP-a</t>
  </si>
  <si>
    <t>Realni rast BDP-a</t>
  </si>
  <si>
    <t>Inflacija</t>
  </si>
  <si>
    <t xml:space="preserve">Uvoz </t>
  </si>
  <si>
    <t>Izvoz</t>
  </si>
  <si>
    <t>Ostalo</t>
  </si>
  <si>
    <t>Deficit tekućeg računa</t>
  </si>
  <si>
    <t>Neto strane direktne investicije</t>
  </si>
  <si>
    <t>Domaći krediti</t>
  </si>
  <si>
    <t>Fiskalni pokazatelji</t>
  </si>
  <si>
    <t>Izvorni javni prihodi</t>
  </si>
  <si>
    <t>Javna potrošnja</t>
  </si>
  <si>
    <t>Deficit/Suficit</t>
  </si>
  <si>
    <t>Primarni deficit/suficit</t>
  </si>
  <si>
    <t>Državni dug</t>
  </si>
  <si>
    <t>Makroekonomski i fiskalni okvir  (u % BDP-a)</t>
  </si>
  <si>
    <t>Ostvarenje</t>
  </si>
  <si>
    <t>Procjena</t>
  </si>
  <si>
    <t>Osnovni scenario</t>
  </si>
  <si>
    <t>Scenario nižeg rasta</t>
  </si>
  <si>
    <t>Core data tab</t>
  </si>
  <si>
    <t>Macroeconomic and Fiscal Framework (in %GDP)</t>
  </si>
  <si>
    <t>Net foreign investments</t>
  </si>
  <si>
    <t>Actual data</t>
  </si>
  <si>
    <t>Estimate</t>
  </si>
  <si>
    <t>Base scenario</t>
  </si>
  <si>
    <t>Low-growth scenario</t>
  </si>
  <si>
    <t>1 - engleski</t>
  </si>
  <si>
    <t>Central budget tab</t>
  </si>
  <si>
    <t>Central Budget of Montenegro</t>
  </si>
  <si>
    <t>Tax on Profits of Legal Person</t>
  </si>
  <si>
    <t>Primici od otplate kredita i sredstva prenijeta iz prethodne godine</t>
  </si>
  <si>
    <t>Local Government tab</t>
  </si>
  <si>
    <t xml:space="preserve"> % GDP</t>
  </si>
  <si>
    <t>Local Government</t>
  </si>
  <si>
    <t>Lokalna samouprava</t>
  </si>
  <si>
    <t>Current revenues and grants</t>
  </si>
  <si>
    <t>Izvorni prihodi i donacije</t>
  </si>
  <si>
    <t>Tekuća potrošnja lokalne samouprave</t>
  </si>
  <si>
    <t>mil. €</t>
  </si>
  <si>
    <t>Local Taxes</t>
  </si>
  <si>
    <t>Suficit/deficit</t>
  </si>
  <si>
    <t>Izvor: Ministarstvo finansija Crne Gore</t>
  </si>
  <si>
    <t>Source: Ministry of Finance of Montenegro</t>
  </si>
  <si>
    <t>Residential duties</t>
  </si>
  <si>
    <t>Local road fees</t>
  </si>
  <si>
    <t>Current local government expenditure</t>
  </si>
  <si>
    <t>Surtaxe on PIT</t>
  </si>
  <si>
    <t>Current maintenance</t>
  </si>
  <si>
    <t>Lolacl utility duties</t>
  </si>
  <si>
    <t>Sourse: Ministry of Finance of Montenegro</t>
  </si>
  <si>
    <t>Deposits of local government</t>
  </si>
  <si>
    <t>Transfers from the Central Budget</t>
  </si>
  <si>
    <t>Fees for usage of construction land</t>
  </si>
  <si>
    <t>Fees for municipal residental land</t>
  </si>
  <si>
    <t>Public expenditure tab</t>
  </si>
  <si>
    <t>Tekuća javna potrošnja</t>
  </si>
  <si>
    <t>Kapitalni izdaci</t>
  </si>
  <si>
    <t>Local taxes</t>
  </si>
  <si>
    <t>Public expenditures</t>
  </si>
  <si>
    <t>Current public expenditures</t>
  </si>
  <si>
    <t>Capital Budget of Montenegro</t>
  </si>
  <si>
    <t>Capital Budget of Local Government</t>
  </si>
  <si>
    <t>Surplus/deficit</t>
  </si>
  <si>
    <t>Financing</t>
  </si>
  <si>
    <t>Privatisation revenues or selling property</t>
  </si>
  <si>
    <t xml:space="preserve">   Public expenditure (% GDP)</t>
  </si>
  <si>
    <t>Stopa nezaposlenosti (%)</t>
  </si>
  <si>
    <t>Unemployment rate (%)</t>
  </si>
  <si>
    <t>Januar</t>
  </si>
  <si>
    <t>Februar</t>
  </si>
  <si>
    <t>Mart</t>
  </si>
  <si>
    <t>April</t>
  </si>
  <si>
    <t>Maj</t>
  </si>
  <si>
    <t>Jun</t>
  </si>
  <si>
    <t>Jul</t>
  </si>
  <si>
    <t>Avgust</t>
  </si>
  <si>
    <t>Septembar</t>
  </si>
  <si>
    <t>Oktobar</t>
  </si>
  <si>
    <t>Novembar</t>
  </si>
  <si>
    <t>Decembar</t>
  </si>
  <si>
    <t>Porez na imovinu</t>
  </si>
  <si>
    <t xml:space="preserve">Akcize </t>
  </si>
  <si>
    <t>Porez na međ. trgov. i transakcije</t>
  </si>
  <si>
    <t>Doprinosi za PIO</t>
  </si>
  <si>
    <t>Doprinosi za zdravstvo</t>
  </si>
  <si>
    <t>Doprinosi za nezaposlene</t>
  </si>
  <si>
    <t>Naknada za kor. prirodnih dobara</t>
  </si>
  <si>
    <t>Naknade za priređ.  igara na sreću</t>
  </si>
  <si>
    <t>Naknade za puteve</t>
  </si>
  <si>
    <t>Prihodi koje organi ostvaruju vršenjem svoje djel.</t>
  </si>
  <si>
    <t>Monthly plan tab</t>
  </si>
  <si>
    <t>January</t>
  </si>
  <si>
    <t>February</t>
  </si>
  <si>
    <t>March</t>
  </si>
  <si>
    <t>May</t>
  </si>
  <si>
    <t>June</t>
  </si>
  <si>
    <t>July</t>
  </si>
  <si>
    <t>August</t>
  </si>
  <si>
    <t>September</t>
  </si>
  <si>
    <t>October</t>
  </si>
  <si>
    <t>November</t>
  </si>
  <si>
    <t>December</t>
  </si>
  <si>
    <t>Izvršenje budžeta, po mjesecima</t>
  </si>
  <si>
    <t>Nakn. za koriš. dob. od opš. int.</t>
  </si>
  <si>
    <t>Prihodi od privatizacije</t>
  </si>
  <si>
    <t>Analitics tab</t>
  </si>
  <si>
    <t>*podaci su procjena Ministarstva finansija</t>
  </si>
  <si>
    <t>Source: Ministry of Finance, Central Bank, Monstat</t>
  </si>
  <si>
    <t>Izvor: Ministarstvo finansija, Centralna banka, Monstat</t>
  </si>
  <si>
    <t>Budget execution, by months</t>
  </si>
  <si>
    <t>Analitika ostvarenja</t>
  </si>
  <si>
    <t>Execution analitics</t>
  </si>
  <si>
    <t>preliminarni podaci</t>
  </si>
  <si>
    <t>preliminary data</t>
  </si>
  <si>
    <t>Execution</t>
  </si>
  <si>
    <t>Expenditures</t>
  </si>
  <si>
    <t>Current expenditures</t>
  </si>
  <si>
    <t>Other expenditures</t>
  </si>
  <si>
    <t>Capital expenditures</t>
  </si>
  <si>
    <t>Capital expenditures of Current Budget and State Funds</t>
  </si>
  <si>
    <t>Public debt</t>
  </si>
  <si>
    <t>Ukupno javni dug</t>
  </si>
  <si>
    <t>Dug prema rezidentima</t>
  </si>
  <si>
    <t>Dug prema nerezidentima</t>
  </si>
  <si>
    <t>I kvartal</t>
  </si>
  <si>
    <t>II kvartal</t>
  </si>
  <si>
    <t>III kvartal</t>
  </si>
  <si>
    <t>IV kvartal</t>
  </si>
  <si>
    <t>Stanje javnog duga, na kraju perioda</t>
  </si>
  <si>
    <t>Public debt, at the end of the period</t>
  </si>
  <si>
    <t>Debt to residents</t>
  </si>
  <si>
    <t>Debt to nonresidents</t>
  </si>
  <si>
    <t>Stanje javnog duga, kvartalno</t>
  </si>
  <si>
    <t xml:space="preserve">Public debt, quaterly </t>
  </si>
  <si>
    <t>I quater</t>
  </si>
  <si>
    <t>II quater</t>
  </si>
  <si>
    <t>III quater</t>
  </si>
  <si>
    <t>IV quater</t>
  </si>
  <si>
    <t>Stanje javnog duga, po mjesecima</t>
  </si>
  <si>
    <t>Public debt, monthly</t>
  </si>
  <si>
    <t>Area (km²)</t>
  </si>
  <si>
    <t>GDP (mil. €)*</t>
  </si>
  <si>
    <r>
      <t xml:space="preserve">BDP </t>
    </r>
    <r>
      <rPr>
        <i/>
        <sz val="10"/>
        <rFont val="Calibri"/>
        <family val="2"/>
        <charset val="238"/>
        <scheme val="minor"/>
      </rPr>
      <t>per capita (</t>
    </r>
    <r>
      <rPr>
        <sz val="10"/>
        <rFont val="Calibri"/>
        <family val="2"/>
        <charset val="238"/>
        <scheme val="minor"/>
      </rPr>
      <t>€</t>
    </r>
    <r>
      <rPr>
        <i/>
        <sz val="10"/>
        <rFont val="Calibri"/>
        <family val="2"/>
        <charset val="238"/>
        <scheme val="minor"/>
      </rPr>
      <t>)*</t>
    </r>
  </si>
  <si>
    <r>
      <t xml:space="preserve">GDP </t>
    </r>
    <r>
      <rPr>
        <i/>
        <sz val="10"/>
        <rFont val="Calibri"/>
        <family val="2"/>
        <charset val="238"/>
        <scheme val="minor"/>
      </rPr>
      <t>per capita (</t>
    </r>
    <r>
      <rPr>
        <sz val="10"/>
        <rFont val="Calibri"/>
        <family val="2"/>
        <charset val="238"/>
        <scheme val="minor"/>
      </rPr>
      <t>€</t>
    </r>
    <r>
      <rPr>
        <i/>
        <sz val="10"/>
        <rFont val="Calibri"/>
        <family val="2"/>
        <charset val="238"/>
        <scheme val="minor"/>
      </rPr>
      <t>)*</t>
    </r>
  </si>
  <si>
    <t>Prosječna neto zarada (€)</t>
  </si>
  <si>
    <t>Average net wage (€)</t>
  </si>
  <si>
    <t>BDP (u mil. €)</t>
  </si>
  <si>
    <t>GDP (mil. €)</t>
  </si>
  <si>
    <t>Capital ouflows and capital budget</t>
  </si>
  <si>
    <t>Deficit/Surplus</t>
  </si>
  <si>
    <t>Deficit/Suficit (bez garancija)</t>
  </si>
  <si>
    <t>Primarni deficit/suficit (bez garancija)</t>
  </si>
  <si>
    <t>Deficit/Surplus (without Guarantees)</t>
  </si>
  <si>
    <t>Primary deficit/surplus (without Guarantees)</t>
  </si>
  <si>
    <t>Bankarski depoziti (domaći)</t>
  </si>
  <si>
    <t>Bank deposits (domestic)</t>
  </si>
  <si>
    <t>Plan according to Budget Law for 2013</t>
  </si>
  <si>
    <t>Plan prema Zakonu o Budžetu za 2013. godinu</t>
  </si>
  <si>
    <t>Plan for 2013</t>
  </si>
  <si>
    <t>Plan 2013</t>
  </si>
  <si>
    <t>Mjesečni plan za 2013. godinu</t>
  </si>
  <si>
    <t>Plan for 2013, by months</t>
  </si>
  <si>
    <t>Execution for 2013</t>
  </si>
  <si>
    <t>Jan - Dec 2013</t>
  </si>
  <si>
    <t>Jan - Feb 2013</t>
  </si>
  <si>
    <t>April 2013</t>
  </si>
  <si>
    <t>Maj 2013</t>
  </si>
  <si>
    <t>Maj 2014</t>
  </si>
  <si>
    <t>Plan 2014</t>
  </si>
  <si>
    <t>Ekonomska klasifikacija</t>
  </si>
  <si>
    <t>O   P   I   S</t>
  </si>
  <si>
    <t>Iznos u €</t>
  </si>
  <si>
    <t>Ako je 0 sve je OK!</t>
  </si>
  <si>
    <t>PRIMICI</t>
  </si>
  <si>
    <t>Tekući prihodi</t>
  </si>
  <si>
    <t>Naknada za korišćenje prirodnih dobara</t>
  </si>
  <si>
    <t>Primici od prodaje  imovine</t>
  </si>
  <si>
    <t>Primici od prodaje imovine</t>
  </si>
  <si>
    <t>Primici od prodaje nefinansijske imovine</t>
  </si>
  <si>
    <t>Primici od prodaje nepokretnosti</t>
  </si>
  <si>
    <t>Primici od prodaje zaliha</t>
  </si>
  <si>
    <t>Primici od prodaje finansijske imovine</t>
  </si>
  <si>
    <t>Prodaja akcija</t>
  </si>
  <si>
    <t>Prodaja ostalih HOV</t>
  </si>
  <si>
    <t xml:space="preserve">Primici od otplate kredita </t>
  </si>
  <si>
    <t>Primici od otplate kredita datih drugim nivoima vlasti</t>
  </si>
  <si>
    <t>Primici od otplate kredita datih javnim preduzećima</t>
  </si>
  <si>
    <t>Primici od otplate kredita datih drugim institucijama</t>
  </si>
  <si>
    <t>Primici od otplate kredita datih fizičkim licima</t>
  </si>
  <si>
    <t xml:space="preserve"> Sredstva prenesena iz prethodne godine</t>
  </si>
  <si>
    <t>Sredstva prenesena iz prethodne godine</t>
  </si>
  <si>
    <t>Donacije i transferi</t>
  </si>
  <si>
    <t>Tekuće donacije</t>
  </si>
  <si>
    <t>IZVORNI PRIHODI</t>
  </si>
  <si>
    <t>Porezi i doprinosi</t>
  </si>
  <si>
    <t xml:space="preserve"> IZDACI</t>
  </si>
  <si>
    <t xml:space="preserve"> Kapitalni budžet CG</t>
  </si>
  <si>
    <t xml:space="preserve"> SUFICIT / DEFICIT</t>
  </si>
  <si>
    <t>PRIMARNI SUFICIT</t>
  </si>
  <si>
    <t>OTPLATA DUGA</t>
  </si>
  <si>
    <t>NEDOSTAJUĆA SREDSTVA</t>
  </si>
  <si>
    <t>FINANSIRANJE</t>
  </si>
  <si>
    <t>Grafik 1</t>
  </si>
  <si>
    <t>Bruto zarade</t>
  </si>
  <si>
    <t>Penzije</t>
  </si>
  <si>
    <t>Grafik 2</t>
  </si>
  <si>
    <t>Direktni porezi</t>
  </si>
  <si>
    <t>Indirektni porezi</t>
  </si>
  <si>
    <t>Neporeski prihodi</t>
  </si>
  <si>
    <t>Procjena 2014</t>
  </si>
  <si>
    <t>Nominalni rast BDPa</t>
  </si>
  <si>
    <t>Realni rast BDPa</t>
  </si>
  <si>
    <t>Stvarni rast prihoda /plan</t>
  </si>
  <si>
    <t>Stvarni rast prihoda /2013</t>
  </si>
  <si>
    <t>Stopa rasta poreskih prihoda</t>
  </si>
  <si>
    <t>Plan 2015</t>
  </si>
  <si>
    <t>Plan 2016</t>
  </si>
  <si>
    <t>Procjena 2015</t>
  </si>
  <si>
    <t>Korekcije za 2015</t>
  </si>
  <si>
    <t>Korekcije za 2014</t>
  </si>
  <si>
    <t>Procjena 2016</t>
  </si>
  <si>
    <t>Procjena 2017</t>
  </si>
  <si>
    <t xml:space="preserve"> </t>
  </si>
  <si>
    <t>Rashodi za materijal</t>
  </si>
  <si>
    <t>Rashodi za usluge</t>
  </si>
  <si>
    <t>Rashodi za tekuće održavanje</t>
  </si>
  <si>
    <t>Ostala prava iz zdravstvenog osiguranja</t>
  </si>
  <si>
    <t xml:space="preserve">Transferi institucijama, pojedincima, nevladinom i javnom sektoru </t>
  </si>
  <si>
    <t xml:space="preserve">Ostali transferi </t>
  </si>
  <si>
    <t xml:space="preserve">Naknade za izgradnju i održavanje lokalnih puteva i drugih javnih objekata od opštinskog značaja </t>
  </si>
  <si>
    <t>PLAN 2015</t>
  </si>
  <si>
    <t>Javna potrošnja - sa autoputem</t>
  </si>
  <si>
    <t>izdaci</t>
  </si>
  <si>
    <t>trans ls</t>
  </si>
  <si>
    <t>deficit</t>
  </si>
  <si>
    <t>Mjesečni plan prihoda 2014</t>
  </si>
  <si>
    <t>Mjesečna procjena prihoda 2014</t>
  </si>
  <si>
    <t>Ostvarenje prihoda 2013</t>
  </si>
  <si>
    <t>Razlike</t>
  </si>
  <si>
    <t>%</t>
  </si>
  <si>
    <t>Deficit - osnovni scenario</t>
  </si>
  <si>
    <t>Deficit - scenario sa auto putem</t>
  </si>
  <si>
    <t>2014 - procjena</t>
  </si>
  <si>
    <t>Procjena 2014 - sept</t>
  </si>
  <si>
    <t>Prihodi od prodaje imovine</t>
  </si>
  <si>
    <t>Donacije I transferi</t>
  </si>
  <si>
    <t>Ostali porezi</t>
  </si>
  <si>
    <t>Primici od otplate kredita i sredstva prenesna iz prethodne godine</t>
  </si>
  <si>
    <t>IZDACI</t>
  </si>
  <si>
    <t>Naknada za zimnicu</t>
  </si>
  <si>
    <t>Naknada za stanovanje i odvojen život</t>
  </si>
  <si>
    <t>Naknada za prevoz</t>
  </si>
  <si>
    <t>Jubilarne nagrade</t>
  </si>
  <si>
    <t>Otpremnine</t>
  </si>
  <si>
    <t>Naknada skupstinskim poslanicima</t>
  </si>
  <si>
    <t>Administrativni materijal</t>
  </si>
  <si>
    <t>Materijal za zdravstvenu zaštitu</t>
  </si>
  <si>
    <t>Materijal za posebne namjene</t>
  </si>
  <si>
    <t>Rashodi za energiju</t>
  </si>
  <si>
    <t>Rashodi za gorivo</t>
  </si>
  <si>
    <t>Ostali rashodi za materijal</t>
  </si>
  <si>
    <t>Službena putovanja</t>
  </si>
  <si>
    <t>Reprezentacija</t>
  </si>
  <si>
    <t>Komunikacione usluge</t>
  </si>
  <si>
    <t>Bankarske usluge i negativne kursne razlike</t>
  </si>
  <si>
    <t>Usluge prevoza</t>
  </si>
  <si>
    <t>Advokatske, notarske i pravne usluge</t>
  </si>
  <si>
    <t>Konsultantske usluge, projekti i studije</t>
  </si>
  <si>
    <t>Usluge stručnog usavršavanja</t>
  </si>
  <si>
    <t>Ostale usluge</t>
  </si>
  <si>
    <t>Tekuće održavanje javne infrastrukture</t>
  </si>
  <si>
    <t>Tekuće održavanje građevinskih objekata</t>
  </si>
  <si>
    <t>Tekuće održavanje opreme</t>
  </si>
  <si>
    <t>Kamate rezidentima</t>
  </si>
  <si>
    <t>Kamate nerezidentima</t>
  </si>
  <si>
    <t>Zakup objekata</t>
  </si>
  <si>
    <t>Zakup opreme</t>
  </si>
  <si>
    <t>Zakup zemljišta</t>
  </si>
  <si>
    <t>Subvencije za proizvodnju i pružanje usluga</t>
  </si>
  <si>
    <t>Izvozne subvencije</t>
  </si>
  <si>
    <t>Uvozne subvencije</t>
  </si>
  <si>
    <t>Ostale subvencije</t>
  </si>
  <si>
    <t>Izdaci po osnovu isplate ugovora o djelu</t>
  </si>
  <si>
    <t>Izdaci po osnovu troškova sudskih postupaka</t>
  </si>
  <si>
    <t>Izrada i održavanje softvera</t>
  </si>
  <si>
    <t>Osiguranje</t>
  </si>
  <si>
    <t>Kontribucije za članstvo u domaćim i međunarodnim organizacijama</t>
  </si>
  <si>
    <t>Komunalne naknade</t>
  </si>
  <si>
    <t>Kazne</t>
  </si>
  <si>
    <t>Dječiji dodaci</t>
  </si>
  <si>
    <t>Boračko invalidska zaštita</t>
  </si>
  <si>
    <t>Materijalno obezbjeđenje porodice</t>
  </si>
  <si>
    <t>Porodiljska odsustva</t>
  </si>
  <si>
    <t>Tuđa njega i pomoć</t>
  </si>
  <si>
    <t>Ishrana djece u predškolskim ustanovama</t>
  </si>
  <si>
    <t>Izdržavanje štićenika u domovima</t>
  </si>
  <si>
    <t>Ostala prava iz oblasti socijalne zaštite</t>
  </si>
  <si>
    <t>Garantovane zarade</t>
  </si>
  <si>
    <t>Otpremnine za tehnološke viškove</t>
  </si>
  <si>
    <t>Dokup staža</t>
  </si>
  <si>
    <t>Naknade nezaposlenim licima</t>
  </si>
  <si>
    <t>Starosna penzija</t>
  </si>
  <si>
    <t>Invalidska penzija</t>
  </si>
  <si>
    <t>Porodična penzija</t>
  </si>
  <si>
    <t>Dodaci</t>
  </si>
  <si>
    <t>Ostala prava</t>
  </si>
  <si>
    <t>Doprinos za zdravstvenu zaštitu penzionera</t>
  </si>
  <si>
    <t>Liječenje van Crne Gore</t>
  </si>
  <si>
    <t>Liječenje van sistema javnih zdravstvenih ustanova u Crnoj Gori</t>
  </si>
  <si>
    <t>Ortopedske sprave i pomagala</t>
  </si>
  <si>
    <t>Naknade za bolovanje preko 60 dana</t>
  </si>
  <si>
    <t>Naknade za putne troškove osiguranika</t>
  </si>
  <si>
    <t xml:space="preserve">Transferi za zdravstvenu zaštitu </t>
  </si>
  <si>
    <t>Transferi obrazovanju</t>
  </si>
  <si>
    <t>Transferi institucijama kulture i sporta</t>
  </si>
  <si>
    <t>Transferi političkim partijama, strankama i udruženjima</t>
  </si>
  <si>
    <t>Transferi za jednokratne socijalne pomoći</t>
  </si>
  <si>
    <t>Transferi za lična primanja pripravnika</t>
  </si>
  <si>
    <t>Ostali transferi pojedincima</t>
  </si>
  <si>
    <t>Ostali transferi institucijama</t>
  </si>
  <si>
    <t>Transferi Fondu penzijskog i invalidskog osiguranja</t>
  </si>
  <si>
    <t>Transferi Fondu zdravstva</t>
  </si>
  <si>
    <t>Transferi zavodu za zapošljavanje</t>
  </si>
  <si>
    <t>Transferi budžetu države</t>
  </si>
  <si>
    <t>Izdaci za infrastrukturu opšeg značaja</t>
  </si>
  <si>
    <t>Izdaci za lokalnu infrastrukturu</t>
  </si>
  <si>
    <t>Izdaci za građevinske objekte</t>
  </si>
  <si>
    <t>Izdaci za uređenje zemljišta</t>
  </si>
  <si>
    <t>Izdaci za opremu</t>
  </si>
  <si>
    <t>Izdaci za investiciono održavanje</t>
  </si>
  <si>
    <t>Izdaci za zalihe</t>
  </si>
  <si>
    <t xml:space="preserve">   Izdaci za kupovinu hartija od vrijednosti</t>
  </si>
  <si>
    <t xml:space="preserve">   Ostali kapitalni izdaci</t>
  </si>
  <si>
    <t>Krediti i pozajmice</t>
  </si>
  <si>
    <t>Pozajmice i krediti nefinansijskim institucijama</t>
  </si>
  <si>
    <t>Pozajmice i krediti finansijskim institucijama</t>
  </si>
  <si>
    <t>Pozajmice i krediti pojedincima</t>
  </si>
  <si>
    <t>Pozajmice i krediti vanbudžetskim fondovima i opštinama</t>
  </si>
  <si>
    <t>Ostale pozajmice i krediti</t>
  </si>
  <si>
    <t>Otplata dugova</t>
  </si>
  <si>
    <t>Otplata hartija od vrijednosti i kredita rezidentima</t>
  </si>
  <si>
    <t>Otplata hartija od vrijednosti i kredita nerezidentima</t>
  </si>
  <si>
    <t>Otplata garancija u zemlji</t>
  </si>
  <si>
    <t>Otplata garancija u inostranstvu</t>
  </si>
  <si>
    <t>Tekuća budžetska rezerva</t>
  </si>
  <si>
    <t>Stalna budžetska rezerva</t>
  </si>
  <si>
    <t>Ostale rezerve</t>
  </si>
  <si>
    <t>Registracione takse</t>
  </si>
  <si>
    <t xml:space="preserve">Naknade za uredjivanje i izgradnju građevinskog zemljišta </t>
  </si>
  <si>
    <t>Samodoprinosi</t>
  </si>
  <si>
    <t>Kapitalne donacije</t>
  </si>
  <si>
    <t>Transferi</t>
  </si>
  <si>
    <t>Transferi od budžeta države</t>
  </si>
  <si>
    <t>Transferi od budžeta opštine</t>
  </si>
  <si>
    <t>Transferi od fonda PIO</t>
  </si>
  <si>
    <t>Transferi od fonda za zdravstveno osiguranje</t>
  </si>
  <si>
    <t>Transferi od Zavoda za zapošljavanje Crne Gore</t>
  </si>
  <si>
    <t>Ostali državni porezi</t>
  </si>
  <si>
    <t>Primarni suficit/deficit</t>
  </si>
  <si>
    <t>Izdaci za kupovinu hartija od vrijednosti</t>
  </si>
  <si>
    <t>Budžet Lokalne samouprave</t>
  </si>
  <si>
    <t>Korišćenje/akumuliranje sredstava na depozitima</t>
  </si>
  <si>
    <t>Primici osnovnih sredstava</t>
  </si>
  <si>
    <t>EU donacije</t>
  </si>
  <si>
    <t>Porez na nepokretnosti</t>
  </si>
  <si>
    <t xml:space="preserve">Godišnja naknada pri registraciji drumskih motornih vozila </t>
  </si>
  <si>
    <t>Ostale naknade za puteve</t>
  </si>
  <si>
    <t>Prirez porezu na dohodak fizičkih lica</t>
  </si>
  <si>
    <t xml:space="preserve">Kamate zbog neblagovremenog plaćanja lokalnih poreza </t>
  </si>
  <si>
    <t>Naknada za korišćenje voda</t>
  </si>
  <si>
    <t>Naknada za izvađeni materijal iz vodotoka</t>
  </si>
  <si>
    <t>Naknada za zaštitu voda od zagađivanja</t>
  </si>
  <si>
    <t>Naknada za korišćenje rezultata geoloških istraživanja</t>
  </si>
  <si>
    <t>Druge naknade za korišćenje dobara od opšteg interesa</t>
  </si>
  <si>
    <t>Naknada za korišćenje šuma</t>
  </si>
  <si>
    <t>Naknada za korišćenje morskog dobra</t>
  </si>
  <si>
    <t>Naknada za korišćenje rudnog bogatstva</t>
  </si>
  <si>
    <t>Naknada za korišćenje mineralnih sirovina</t>
  </si>
  <si>
    <t>Naknada za korišćenje luke-nautički turizam</t>
  </si>
  <si>
    <t>Druge naknade za korišćenje prirodnih dobara</t>
  </si>
  <si>
    <t>Novčane kazne koje izriču jedinice lokalne samouprave</t>
  </si>
  <si>
    <r>
      <t xml:space="preserve">* </t>
    </r>
    <r>
      <rPr>
        <b/>
        <u/>
        <sz val="10"/>
        <rFont val="Calibri"/>
        <family val="2"/>
        <scheme val="minor"/>
      </rPr>
      <t>negativan predznak</t>
    </r>
    <r>
      <rPr>
        <u/>
        <sz val="10"/>
        <rFont val="Calibri"/>
        <family val="2"/>
        <scheme val="minor"/>
      </rPr>
      <t xml:space="preserve"> na iznosu </t>
    </r>
    <r>
      <rPr>
        <sz val="10"/>
        <rFont val="Calibri"/>
        <family val="2"/>
        <scheme val="minor"/>
      </rPr>
      <t xml:space="preserve">u kontekstu projektovanja depozita označava povećanje, odnosno akumuliranje sredstava na depozitima, dok </t>
    </r>
    <r>
      <rPr>
        <b/>
        <u/>
        <sz val="10"/>
        <rFont val="Calibri"/>
        <family val="2"/>
        <scheme val="minor"/>
      </rPr>
      <t>pozitivan predznak</t>
    </r>
    <r>
      <rPr>
        <sz val="10"/>
        <rFont val="Calibri"/>
        <family val="2"/>
        <scheme val="minor"/>
      </rPr>
      <t xml:space="preserve"> označava korišćenje depozita za potrebe finansiranja</t>
    </r>
  </si>
  <si>
    <t>Korigovani Suficit/ Deficit</t>
  </si>
  <si>
    <t>Otplata dugoročnih hartija od vrijednostii kredita rezidentima</t>
  </si>
  <si>
    <t>Otplata kratkoročnih hartija od vrijednostii kredita rezidentima</t>
  </si>
  <si>
    <t>Otplata dugoročnih hartija od vrijednostii kredita nerezidentima</t>
  </si>
  <si>
    <t>Otplata kratkoročnih hartija od vrijednostii kredita nerezidentima</t>
  </si>
  <si>
    <r>
      <t xml:space="preserve">* Iznos kod otplate duga (budžetska pozicija 461) uzima u obrzi samo </t>
    </r>
    <r>
      <rPr>
        <b/>
        <u/>
        <sz val="10"/>
        <rFont val="Calibri"/>
        <family val="2"/>
        <scheme val="minor"/>
      </rPr>
      <t>otplatu kratkoročnog duga</t>
    </r>
  </si>
  <si>
    <t>Razlika između primitaKa i izdataka</t>
  </si>
  <si>
    <t>Kontrola ispunjenosti zakonske norme</t>
  </si>
  <si>
    <t>Otplata dugoročnih obaveza iz prethodnog perioda</t>
  </si>
  <si>
    <t>Otplata kratkoročnih  obaveza iz prethodnog perioda</t>
  </si>
  <si>
    <t>* potrebno napraviti distinkciju izmjeđu kratkoročnog i dugoročnog duga, za potrebe obračuna člana 27 Zakona o  finansiranju loklanih samouprava</t>
  </si>
  <si>
    <r>
      <t xml:space="preserve">* kod unosa </t>
    </r>
    <r>
      <rPr>
        <b/>
        <u/>
        <sz val="10"/>
        <rFont val="Calibri"/>
        <family val="2"/>
        <scheme val="minor"/>
      </rPr>
      <t>promjena neto obavez</t>
    </r>
    <r>
      <rPr>
        <sz val="10"/>
        <rFont val="Calibri"/>
        <family val="2"/>
        <scheme val="minor"/>
      </rPr>
      <t>e, povećanje neto obaveza se unosi u sa pozitivnim (+) predznakom, dok se umanjenje unosi sa negativnim (-) predznakom</t>
    </r>
  </si>
  <si>
    <t>Neto promjena obaveza</t>
  </si>
  <si>
    <t>Dotacije opštinama</t>
  </si>
  <si>
    <t xml:space="preserve">Transferi od Egalizacionog fonda i dotacije </t>
  </si>
  <si>
    <t>Transferi iz budžeta države</t>
  </si>
  <si>
    <t>Transferi od Egalizacionog fonda</t>
  </si>
  <si>
    <t>,</t>
  </si>
  <si>
    <t>Projektovani BDP (u mil. €) za 2025.g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</si>
</sst>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_(* #,##0.00_);_(* \(#,##0.00\);_(* &quot;-&quot;??_);_(@_)"/>
    <numFmt numFmtId="165" formatCode="0.00,,"/>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 numFmtId="177" formatCode="0.000000"/>
    <numFmt numFmtId="178" formatCode="0.0%"/>
  </numFmts>
  <fonts count="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0"/>
      <name val="Century Gothic"/>
      <family val="2"/>
    </font>
    <font>
      <sz val="10"/>
      <name val="Century Gothic"/>
      <family val="2"/>
    </font>
    <font>
      <sz val="10"/>
      <name val="Arial"/>
      <family val="2"/>
      <charset val="238"/>
    </font>
    <font>
      <sz val="10"/>
      <name val="Arial"/>
      <family val="2"/>
      <charset val="238"/>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Calibri"/>
      <family val="2"/>
      <charset val="238"/>
      <scheme val="minor"/>
    </font>
    <font>
      <b/>
      <sz val="10"/>
      <name val="Calibri"/>
      <family val="2"/>
      <charset val="238"/>
      <scheme val="minor"/>
    </font>
    <font>
      <i/>
      <sz val="10"/>
      <name val="Calibri"/>
      <family val="2"/>
      <charset val="238"/>
      <scheme val="minor"/>
    </font>
    <font>
      <sz val="9"/>
      <name val="Century Gothic"/>
      <family val="2"/>
    </font>
    <font>
      <sz val="11"/>
      <color rgb="FFFF0000"/>
      <name val="Calibri"/>
      <family val="2"/>
      <scheme val="minor"/>
    </font>
    <font>
      <sz val="8"/>
      <name val="Century Gothic"/>
      <family val="2"/>
    </font>
    <font>
      <b/>
      <sz val="11"/>
      <color rgb="FFFF0000"/>
      <name val="Calibri"/>
      <family val="2"/>
      <scheme val="minor"/>
    </font>
    <font>
      <b/>
      <sz val="11"/>
      <color theme="1" tint="0.34998626667073579"/>
      <name val="Calibri"/>
      <family val="2"/>
      <scheme val="minor"/>
    </font>
    <font>
      <b/>
      <sz val="11"/>
      <name val="Century Gothic"/>
      <family val="2"/>
    </font>
    <font>
      <b/>
      <sz val="9"/>
      <name val="Century Gothic"/>
      <family val="2"/>
    </font>
    <font>
      <b/>
      <sz val="8"/>
      <name val="Century Gothic"/>
      <family val="2"/>
    </font>
    <font>
      <sz val="10"/>
      <name val="Calibri"/>
      <family val="2"/>
      <scheme val="minor"/>
    </font>
    <font>
      <sz val="10"/>
      <color theme="0"/>
      <name val="Calibri"/>
      <family val="2"/>
      <scheme val="minor"/>
    </font>
    <font>
      <b/>
      <sz val="10"/>
      <name val="Calibri"/>
      <family val="2"/>
      <scheme val="minor"/>
    </font>
    <font>
      <i/>
      <sz val="10"/>
      <name val="Calibri"/>
      <family val="2"/>
      <scheme val="minor"/>
    </font>
    <font>
      <b/>
      <i/>
      <sz val="10"/>
      <name val="Calibri"/>
      <family val="2"/>
      <scheme val="minor"/>
    </font>
    <font>
      <sz val="10"/>
      <name val="Arial"/>
      <family val="2"/>
      <charset val="238"/>
    </font>
    <font>
      <sz val="11"/>
      <color rgb="FF9C0006"/>
      <name val="Calibri"/>
      <family val="2"/>
      <charset val="238"/>
      <scheme val="minor"/>
    </font>
    <font>
      <sz val="9"/>
      <color indexed="81"/>
      <name val="Tahoma"/>
      <family val="2"/>
      <charset val="238"/>
    </font>
    <font>
      <b/>
      <sz val="9"/>
      <color indexed="81"/>
      <name val="Tahoma"/>
      <family val="2"/>
      <charset val="238"/>
    </font>
    <font>
      <sz val="9"/>
      <color indexed="81"/>
      <name val="Tahoma"/>
      <family val="2"/>
    </font>
    <font>
      <b/>
      <sz val="9"/>
      <color indexed="81"/>
      <name val="Tahoma"/>
      <family val="2"/>
    </font>
    <font>
      <i/>
      <sz val="9"/>
      <color indexed="81"/>
      <name val="Tahoma"/>
      <family val="2"/>
    </font>
    <font>
      <b/>
      <sz val="16"/>
      <name val="Arial"/>
      <family val="2"/>
      <charset val="238"/>
    </font>
    <font>
      <sz val="11"/>
      <name val="Calibri"/>
      <family val="2"/>
      <charset val="238"/>
      <scheme val="minor"/>
    </font>
    <font>
      <b/>
      <sz val="10"/>
      <color theme="0"/>
      <name val="Calibri"/>
      <family val="2"/>
      <scheme val="minor"/>
    </font>
    <font>
      <sz val="10"/>
      <name val="Arial"/>
      <family val="2"/>
    </font>
    <font>
      <i/>
      <sz val="8"/>
      <name val="Calibri"/>
      <family val="2"/>
      <scheme val="minor"/>
    </font>
    <font>
      <b/>
      <i/>
      <sz val="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0006"/>
      <name val="Calibri"/>
      <family val="2"/>
      <scheme val="minor"/>
    </font>
    <font>
      <sz val="12"/>
      <name val="Calibri"/>
      <family val="2"/>
      <scheme val="minor"/>
    </font>
    <font>
      <sz val="10"/>
      <color rgb="FFFF0000"/>
      <name val="Calibri"/>
      <family val="2"/>
      <scheme val="minor"/>
    </font>
    <font>
      <sz val="10"/>
      <name val="Arial"/>
      <family val="2"/>
    </font>
    <font>
      <sz val="8"/>
      <name val="Calibri"/>
      <family val="2"/>
      <scheme val="minor"/>
    </font>
    <font>
      <sz val="12"/>
      <color theme="0"/>
      <name val="Calibri"/>
      <family val="2"/>
      <scheme val="minor"/>
    </font>
    <font>
      <i/>
      <sz val="8"/>
      <color rgb="FFFF0000"/>
      <name val="Calibri"/>
      <family val="2"/>
      <scheme val="minor"/>
    </font>
    <font>
      <b/>
      <sz val="12"/>
      <color theme="0"/>
      <name val="Calibri"/>
      <family val="2"/>
      <scheme val="minor"/>
    </font>
    <font>
      <b/>
      <sz val="8"/>
      <name val="Calibri"/>
      <family val="2"/>
      <scheme val="minor"/>
    </font>
    <font>
      <i/>
      <sz val="9"/>
      <color theme="9" tint="-0.249977111117893"/>
      <name val="Century Gothic"/>
      <family val="2"/>
    </font>
    <font>
      <b/>
      <u/>
      <sz val="10"/>
      <name val="Calibri"/>
      <family val="2"/>
      <scheme val="minor"/>
    </font>
    <font>
      <u/>
      <sz val="10"/>
      <name val="Calibri"/>
      <family val="2"/>
      <scheme val="minor"/>
    </font>
    <font>
      <sz val="10"/>
      <color theme="0" tint="-4.9989318521683403E-2"/>
      <name val="Calibri"/>
      <family val="2"/>
      <scheme val="minor"/>
    </font>
  </fonts>
  <fills count="4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59999389629810485"/>
        <bgColor indexed="64"/>
      </patternFill>
    </fill>
    <fill>
      <patternFill patternType="solid">
        <fgColor theme="3" tint="-0.499984740745262"/>
        <bgColor indexed="64"/>
      </patternFill>
    </fill>
    <fill>
      <patternFill patternType="solid">
        <fgColor rgb="FFFFFF00"/>
        <bgColor indexed="64"/>
      </patternFill>
    </fill>
    <fill>
      <patternFill patternType="solid">
        <fgColor rgb="FFFFC7CE"/>
      </patternFill>
    </fill>
    <fill>
      <patternFill patternType="solid">
        <fgColor rgb="FFFFFFCC"/>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6" tint="0.79998168889431442"/>
        <bgColor indexed="64"/>
      </patternFill>
    </fill>
  </fills>
  <borders count="119">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hair">
        <color indexed="64"/>
      </bottom>
      <diagonal/>
    </border>
    <border>
      <left/>
      <right style="double">
        <color indexed="64"/>
      </right>
      <top style="double">
        <color indexed="64"/>
      </top>
      <bottom style="hair">
        <color indexed="64"/>
      </bottom>
      <diagonal/>
    </border>
    <border>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hair">
        <color indexed="64"/>
      </top>
      <bottom style="double">
        <color indexed="64"/>
      </bottom>
      <diagonal/>
    </border>
    <border>
      <left style="double">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medium">
        <color auto="1"/>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style="double">
        <color indexed="64"/>
      </top>
      <bottom style="thin">
        <color theme="0" tint="-0.34998626667073579"/>
      </bottom>
      <diagonal/>
    </border>
    <border>
      <left style="thin">
        <color indexed="64"/>
      </left>
      <right/>
      <top style="double">
        <color indexed="64"/>
      </top>
      <bottom style="thin">
        <color theme="0" tint="-0.34998626667073579"/>
      </bottom>
      <diagonal/>
    </border>
    <border>
      <left style="double">
        <color indexed="64"/>
      </left>
      <right style="double">
        <color indexed="64"/>
      </right>
      <top style="double">
        <color indexed="64"/>
      </top>
      <bottom style="thin">
        <color theme="0" tint="-0.34998626667073579"/>
      </bottom>
      <diagonal/>
    </border>
    <border>
      <left style="double">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double">
        <color indexed="64"/>
      </left>
      <right style="double">
        <color indexed="64"/>
      </right>
      <top style="thin">
        <color theme="0" tint="-0.34998626667073579"/>
      </top>
      <bottom style="thin">
        <color theme="0" tint="-0.34998626667073579"/>
      </bottom>
      <diagonal/>
    </border>
    <border>
      <left style="double">
        <color indexed="64"/>
      </left>
      <right style="thin">
        <color indexed="64"/>
      </right>
      <top style="thin">
        <color theme="0" tint="-0.34998626667073579"/>
      </top>
      <bottom style="double">
        <color indexed="64"/>
      </bottom>
      <diagonal/>
    </border>
    <border>
      <left style="thin">
        <color indexed="64"/>
      </left>
      <right/>
      <top style="thin">
        <color theme="0" tint="-0.34998626667073579"/>
      </top>
      <bottom style="double">
        <color indexed="64"/>
      </bottom>
      <diagonal/>
    </border>
    <border>
      <left style="double">
        <color indexed="64"/>
      </left>
      <right style="double">
        <color indexed="64"/>
      </right>
      <top style="thin">
        <color theme="0" tint="-0.34998626667073579"/>
      </top>
      <bottom style="double">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55"/>
      </bottom>
      <diagonal/>
    </border>
    <border>
      <left style="thin">
        <color indexed="64"/>
      </left>
      <right style="thin">
        <color indexed="64"/>
      </right>
      <top/>
      <bottom style="thin">
        <color indexed="55"/>
      </bottom>
      <diagonal/>
    </border>
    <border>
      <left style="double">
        <color indexed="64"/>
      </left>
      <right style="double">
        <color indexed="64"/>
      </right>
      <top/>
      <bottom style="thin">
        <color indexed="55"/>
      </bottom>
      <diagonal/>
    </border>
    <border>
      <left style="double">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double">
        <color indexed="64"/>
      </left>
      <right style="double">
        <color indexed="64"/>
      </right>
      <top style="thin">
        <color indexed="55"/>
      </top>
      <bottom style="thin">
        <color indexed="55"/>
      </bottom>
      <diagonal/>
    </border>
    <border>
      <left style="double">
        <color indexed="64"/>
      </left>
      <right style="thin">
        <color indexed="64"/>
      </right>
      <top style="thin">
        <color indexed="55"/>
      </top>
      <bottom style="thin">
        <color theme="0" tint="-0.499984740745262"/>
      </bottom>
      <diagonal/>
    </border>
    <border>
      <left style="thin">
        <color indexed="64"/>
      </left>
      <right style="thin">
        <color indexed="64"/>
      </right>
      <top style="thin">
        <color indexed="55"/>
      </top>
      <bottom style="thin">
        <color theme="0" tint="-0.499984740745262"/>
      </bottom>
      <diagonal/>
    </border>
    <border>
      <left style="double">
        <color indexed="64"/>
      </left>
      <right style="double">
        <color indexed="64"/>
      </right>
      <top style="thin">
        <color indexed="55"/>
      </top>
      <bottom style="thin">
        <color theme="0" tint="-0.499984740745262"/>
      </bottom>
      <diagonal/>
    </border>
    <border>
      <left style="double">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double">
        <color indexed="64"/>
      </left>
      <right style="double">
        <color indexed="64"/>
      </right>
      <top style="thin">
        <color theme="0" tint="-0.499984740745262"/>
      </top>
      <bottom style="thin">
        <color theme="0" tint="-0.499984740745262"/>
      </bottom>
      <diagonal/>
    </border>
    <border>
      <left style="double">
        <color indexed="64"/>
      </left>
      <right style="thin">
        <color indexed="64"/>
      </right>
      <top style="thin">
        <color theme="0" tint="-0.499984740745262"/>
      </top>
      <bottom style="double">
        <color indexed="64"/>
      </bottom>
      <diagonal/>
    </border>
    <border>
      <left style="thin">
        <color indexed="64"/>
      </left>
      <right style="thin">
        <color indexed="64"/>
      </right>
      <top style="thin">
        <color theme="0" tint="-0.499984740745262"/>
      </top>
      <bottom style="double">
        <color indexed="64"/>
      </bottom>
      <diagonal/>
    </border>
    <border>
      <left style="double">
        <color indexed="64"/>
      </left>
      <right style="double">
        <color indexed="64"/>
      </right>
      <top style="thin">
        <color theme="0" tint="-0.499984740745262"/>
      </top>
      <bottom style="double">
        <color indexed="64"/>
      </bottom>
      <diagonal/>
    </border>
    <border>
      <left style="thick">
        <color indexed="64"/>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ck">
        <color indexed="64"/>
      </left>
      <right/>
      <top style="medium">
        <color indexed="64"/>
      </top>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s>
  <cellStyleXfs count="84">
    <xf numFmtId="0" fontId="0" fillId="0" borderId="0"/>
    <xf numFmtId="168"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1" fontId="8" fillId="0" borderId="0" applyFont="0" applyFill="0" applyBorder="0" applyAlignment="0" applyProtection="0"/>
    <xf numFmtId="0" fontId="9" fillId="0" borderId="0" applyProtection="0"/>
    <xf numFmtId="0" fontId="10" fillId="0" borderId="0">
      <protection locked="0"/>
    </xf>
    <xf numFmtId="0" fontId="10" fillId="0" borderId="0">
      <protection locked="0"/>
    </xf>
    <xf numFmtId="0" fontId="11" fillId="0" borderId="0">
      <protection locked="0"/>
    </xf>
    <xf numFmtId="0" fontId="10" fillId="0" borderId="0">
      <protection locked="0"/>
    </xf>
    <xf numFmtId="0" fontId="10" fillId="0" borderId="0">
      <protection locked="0"/>
    </xf>
    <xf numFmtId="0" fontId="10" fillId="0" borderId="0">
      <protection locked="0"/>
    </xf>
    <xf numFmtId="0" fontId="11" fillId="0" borderId="0">
      <protection locked="0"/>
    </xf>
    <xf numFmtId="2" fontId="9" fillId="0" borderId="0" applyProtection="0"/>
    <xf numFmtId="0" fontId="9" fillId="0" borderId="0" applyNumberFormat="0" applyFont="0" applyFill="0" applyBorder="0" applyAlignment="0" applyProtection="0"/>
    <xf numFmtId="0" fontId="12" fillId="0" borderId="0" applyProtection="0"/>
    <xf numFmtId="172" fontId="8" fillId="0" borderId="0" applyFont="0" applyFill="0" applyBorder="0" applyAlignment="0" applyProtection="0"/>
    <xf numFmtId="173" fontId="8" fillId="0" borderId="0" applyFont="0" applyFill="0" applyBorder="0" applyAlignment="0" applyProtection="0"/>
    <xf numFmtId="167" fontId="13" fillId="0" borderId="0"/>
    <xf numFmtId="0" fontId="14" fillId="0" borderId="0"/>
    <xf numFmtId="0" fontId="15" fillId="0" borderId="0"/>
    <xf numFmtId="0" fontId="15" fillId="0" borderId="0"/>
    <xf numFmtId="0" fontId="8" fillId="0" borderId="0"/>
    <xf numFmtId="0" fontId="7" fillId="0" borderId="0"/>
    <xf numFmtId="174" fontId="8" fillId="0" borderId="0" applyFont="0" applyFill="0" applyBorder="0" applyAlignment="0" applyProtection="0"/>
    <xf numFmtId="0" fontId="16"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3" fillId="0" borderId="0"/>
    <xf numFmtId="9" fontId="33" fillId="0" borderId="0" applyFont="0" applyFill="0" applyBorder="0" applyAlignment="0" applyProtection="0"/>
    <xf numFmtId="0" fontId="34" fillId="11" borderId="0" applyNumberFormat="0" applyBorder="0" applyAlignment="0" applyProtection="0"/>
    <xf numFmtId="0" fontId="7" fillId="0" borderId="0"/>
    <xf numFmtId="0" fontId="46" fillId="0" borderId="0" applyNumberFormat="0" applyFill="0" applyBorder="0" applyAlignment="0" applyProtection="0"/>
    <xf numFmtId="0" fontId="47" fillId="0" borderId="53" applyNumberFormat="0" applyFill="0" applyAlignment="0" applyProtection="0"/>
    <xf numFmtId="0" fontId="48" fillId="0" borderId="54" applyNumberFormat="0" applyFill="0" applyAlignment="0" applyProtection="0"/>
    <xf numFmtId="0" fontId="49" fillId="0" borderId="55" applyNumberFormat="0" applyFill="0" applyAlignment="0" applyProtection="0"/>
    <xf numFmtId="0" fontId="49" fillId="0" borderId="0" applyNumberFormat="0" applyFill="0" applyBorder="0" applyAlignment="0" applyProtection="0"/>
    <xf numFmtId="0" fontId="50" fillId="16" borderId="0" applyNumberFormat="0" applyBorder="0" applyAlignment="0" applyProtection="0"/>
    <xf numFmtId="0" fontId="51" fillId="17" borderId="0" applyNumberFormat="0" applyBorder="0" applyAlignment="0" applyProtection="0"/>
    <xf numFmtId="0" fontId="52" fillId="18" borderId="56" applyNumberFormat="0" applyAlignment="0" applyProtection="0"/>
    <xf numFmtId="0" fontId="53" fillId="19" borderId="57" applyNumberFormat="0" applyAlignment="0" applyProtection="0"/>
    <xf numFmtId="0" fontId="54" fillId="19" borderId="56" applyNumberFormat="0" applyAlignment="0" applyProtection="0"/>
    <xf numFmtId="0" fontId="55" fillId="0" borderId="58" applyNumberFormat="0" applyFill="0" applyAlignment="0" applyProtection="0"/>
    <xf numFmtId="0" fontId="56" fillId="20" borderId="59" applyNumberFormat="0" applyAlignment="0" applyProtection="0"/>
    <xf numFmtId="0" fontId="21" fillId="0" borderId="0" applyNumberFormat="0" applyFill="0" applyBorder="0" applyAlignment="0" applyProtection="0"/>
    <xf numFmtId="0" fontId="57" fillId="0" borderId="0" applyNumberFormat="0" applyFill="0" applyBorder="0" applyAlignment="0" applyProtection="0"/>
    <xf numFmtId="0" fontId="58" fillId="0" borderId="61" applyNumberFormat="0" applyFill="0" applyAlignment="0" applyProtection="0"/>
    <xf numFmtId="0" fontId="5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9" fillId="37" borderId="0" applyNumberFormat="0" applyBorder="0" applyAlignment="0" applyProtection="0"/>
    <xf numFmtId="0" fontId="5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9" fillId="41" borderId="0" applyNumberFormat="0" applyBorder="0" applyAlignment="0" applyProtection="0"/>
    <xf numFmtId="0" fontId="59"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59" fillId="45" borderId="0" applyNumberFormat="0" applyBorder="0" applyAlignment="0" applyProtection="0"/>
    <xf numFmtId="0" fontId="43" fillId="0" borderId="0"/>
    <xf numFmtId="0" fontId="60" fillId="11" borderId="0" applyNumberFormat="0" applyBorder="0" applyAlignment="0" applyProtection="0"/>
    <xf numFmtId="0" fontId="1" fillId="21" borderId="60" applyNumberFormat="0" applyFont="0" applyAlignment="0" applyProtection="0"/>
    <xf numFmtId="164" fontId="63" fillId="0" borderId="0" applyFont="0" applyFill="0" applyBorder="0" applyAlignment="0" applyProtection="0"/>
  </cellStyleXfs>
  <cellXfs count="475">
    <xf numFmtId="0" fontId="0" fillId="0" borderId="0" xfId="0"/>
    <xf numFmtId="0" fontId="7" fillId="0" borderId="0" xfId="0" applyFont="1"/>
    <xf numFmtId="0" fontId="17" fillId="0" borderId="0" xfId="0" applyFont="1" applyFill="1" applyAlignment="1">
      <alignment horizontal="center" vertical="center"/>
    </xf>
    <xf numFmtId="0" fontId="7" fillId="0" borderId="0" xfId="22" applyFont="1" applyFill="1" applyBorder="1" applyAlignment="1">
      <alignment horizontal="center" vertical="center" wrapText="1"/>
    </xf>
    <xf numFmtId="0" fontId="17" fillId="0" borderId="0" xfId="22" applyFont="1" applyFill="1" applyBorder="1" applyAlignment="1">
      <alignment vertical="center"/>
    </xf>
    <xf numFmtId="0" fontId="17" fillId="0" borderId="0" xfId="22" applyFont="1" applyFill="1" applyAlignment="1">
      <alignment vertical="center"/>
    </xf>
    <xf numFmtId="0" fontId="17" fillId="0" borderId="0" xfId="22" applyFont="1" applyFill="1" applyBorder="1" applyAlignment="1">
      <alignment horizontal="center" vertical="center"/>
    </xf>
    <xf numFmtId="2" fontId="17" fillId="0" borderId="0" xfId="22" applyNumberFormat="1" applyFont="1" applyFill="1" applyBorder="1" applyAlignment="1">
      <alignment vertical="center"/>
    </xf>
    <xf numFmtId="2" fontId="17" fillId="0" borderId="0" xfId="22" applyNumberFormat="1" applyFont="1" applyFill="1" applyBorder="1" applyAlignment="1">
      <alignment horizontal="left" vertical="center"/>
    </xf>
    <xf numFmtId="49" fontId="17" fillId="0" borderId="0" xfId="22" applyNumberFormat="1" applyFont="1" applyFill="1" applyBorder="1" applyAlignment="1">
      <alignment vertical="center"/>
    </xf>
    <xf numFmtId="0" fontId="17" fillId="3" borderId="0" xfId="0" applyFont="1" applyFill="1" applyAlignment="1" applyProtection="1">
      <alignment vertical="center"/>
      <protection locked="0"/>
    </xf>
    <xf numFmtId="0" fontId="17" fillId="0" borderId="0" xfId="0" applyFont="1" applyAlignment="1">
      <alignment vertical="center"/>
    </xf>
    <xf numFmtId="0" fontId="17" fillId="0" borderId="0" xfId="22" applyFont="1" applyAlignment="1">
      <alignment vertical="center"/>
    </xf>
    <xf numFmtId="1" fontId="17" fillId="0" borderId="0" xfId="0" applyNumberFormat="1" applyFont="1" applyFill="1" applyBorder="1" applyAlignment="1">
      <alignment horizontal="center" vertical="center"/>
    </xf>
    <xf numFmtId="1" fontId="17" fillId="0" borderId="0" xfId="0" applyNumberFormat="1" applyFont="1" applyFill="1" applyAlignment="1">
      <alignment horizontal="center" vertical="center"/>
    </xf>
    <xf numFmtId="0" fontId="17" fillId="0" borderId="0" xfId="0" applyFont="1" applyFill="1" applyBorder="1" applyAlignment="1">
      <alignment horizontal="left" vertical="center"/>
    </xf>
    <xf numFmtId="16" fontId="17" fillId="0" borderId="0" xfId="0" applyNumberFormat="1" applyFont="1" applyFill="1" applyAlignment="1">
      <alignment vertical="center"/>
    </xf>
    <xf numFmtId="0" fontId="17" fillId="0" borderId="0" xfId="0" applyFont="1" applyFill="1" applyAlignment="1">
      <alignment vertical="center"/>
    </xf>
    <xf numFmtId="16" fontId="17" fillId="0" borderId="0" xfId="0" applyNumberFormat="1" applyFont="1" applyFill="1" applyBorder="1" applyAlignment="1">
      <alignment horizontal="left" vertical="center"/>
    </xf>
    <xf numFmtId="17" fontId="17" fillId="0" borderId="0" xfId="0" applyNumberFormat="1" applyFont="1" applyFill="1" applyBorder="1" applyAlignment="1">
      <alignment horizontal="left" vertical="center"/>
    </xf>
    <xf numFmtId="0" fontId="17" fillId="0" borderId="0" xfId="0" applyFont="1" applyFill="1" applyAlignment="1">
      <alignment horizontal="left" vertical="center"/>
    </xf>
    <xf numFmtId="17" fontId="17" fillId="0" borderId="0" xfId="0" applyNumberFormat="1" applyFont="1" applyFill="1" applyAlignment="1">
      <alignment vertical="center"/>
    </xf>
    <xf numFmtId="4" fontId="17" fillId="0" borderId="0" xfId="22" applyNumberFormat="1" applyFont="1" applyFill="1" applyBorder="1" applyAlignment="1">
      <alignment vertical="center"/>
    </xf>
    <xf numFmtId="165" fontId="17" fillId="0" borderId="0" xfId="22" applyNumberFormat="1" applyFont="1" applyFill="1" applyBorder="1" applyAlignment="1">
      <alignment vertical="center"/>
    </xf>
    <xf numFmtId="4" fontId="18" fillId="0" borderId="0" xfId="22" applyNumberFormat="1" applyFont="1" applyFill="1" applyBorder="1" applyAlignment="1">
      <alignment vertical="center"/>
    </xf>
    <xf numFmtId="165" fontId="18" fillId="0" borderId="0" xfId="22" applyNumberFormat="1" applyFont="1" applyFill="1" applyBorder="1" applyAlignment="1">
      <alignment vertical="center"/>
    </xf>
    <xf numFmtId="49" fontId="17" fillId="0" borderId="0" xfId="22" applyNumberFormat="1" applyFont="1" applyAlignment="1">
      <alignment vertical="center"/>
    </xf>
    <xf numFmtId="49" fontId="17" fillId="0" borderId="0" xfId="0" applyNumberFormat="1" applyFont="1" applyAlignment="1">
      <alignment vertical="center"/>
    </xf>
    <xf numFmtId="17" fontId="7" fillId="0" borderId="0" xfId="0" applyNumberFormat="1" applyFont="1"/>
    <xf numFmtId="0" fontId="3" fillId="0" borderId="0" xfId="37"/>
    <xf numFmtId="0" fontId="22" fillId="0" borderId="5" xfId="37" applyFont="1" applyBorder="1" applyAlignment="1">
      <alignment horizontal="center" vertical="center" wrapText="1"/>
    </xf>
    <xf numFmtId="0" fontId="6" fillId="0" borderId="36" xfId="37" applyFont="1" applyBorder="1" applyAlignment="1">
      <alignment horizontal="center" vertical="center" wrapText="1"/>
    </xf>
    <xf numFmtId="0" fontId="6" fillId="0" borderId="10" xfId="37" applyFont="1" applyBorder="1" applyAlignment="1">
      <alignment horizontal="center" vertical="center" wrapText="1"/>
    </xf>
    <xf numFmtId="0" fontId="5" fillId="0" borderId="5" xfId="37" applyFont="1" applyBorder="1" applyAlignment="1">
      <alignment horizontal="left"/>
    </xf>
    <xf numFmtId="0" fontId="5" fillId="0" borderId="36" xfId="37" applyFont="1" applyBorder="1" applyAlignment="1">
      <alignment wrapText="1"/>
    </xf>
    <xf numFmtId="4" fontId="5" fillId="0" borderId="10" xfId="37" applyNumberFormat="1" applyFont="1" applyBorder="1"/>
    <xf numFmtId="4" fontId="24" fillId="3" borderId="0" xfId="37" applyNumberFormat="1" applyFont="1" applyFill="1"/>
    <xf numFmtId="0" fontId="5" fillId="0" borderId="13" xfId="37" applyFont="1" applyBorder="1" applyAlignment="1">
      <alignment horizontal="left"/>
    </xf>
    <xf numFmtId="0" fontId="5" fillId="0" borderId="30" xfId="37" applyFont="1" applyBorder="1" applyAlignment="1">
      <alignment wrapText="1"/>
    </xf>
    <xf numFmtId="4" fontId="5" fillId="0" borderId="7" xfId="37" applyNumberFormat="1" applyFont="1" applyBorder="1"/>
    <xf numFmtId="4" fontId="3" fillId="0" borderId="0" xfId="37" applyNumberFormat="1"/>
    <xf numFmtId="0" fontId="5" fillId="0" borderId="42" xfId="37" applyFont="1" applyBorder="1" applyAlignment="1">
      <alignment horizontal="center"/>
    </xf>
    <xf numFmtId="0" fontId="5" fillId="0" borderId="3" xfId="37" applyFont="1" applyBorder="1" applyAlignment="1">
      <alignment vertical="center" wrapText="1"/>
    </xf>
    <xf numFmtId="4" fontId="5" fillId="0" borderId="8" xfId="37" applyNumberFormat="1" applyFont="1" applyBorder="1"/>
    <xf numFmtId="0" fontId="6" fillId="0" borderId="42" xfId="37" applyFont="1" applyBorder="1"/>
    <xf numFmtId="0" fontId="6" fillId="0" borderId="3" xfId="37" applyFont="1" applyBorder="1" applyAlignment="1">
      <alignment vertical="center" wrapText="1"/>
    </xf>
    <xf numFmtId="4" fontId="6" fillId="0" borderId="8" xfId="37" applyNumberFormat="1" applyFont="1" applyBorder="1"/>
    <xf numFmtId="0" fontId="6" fillId="0" borderId="3" xfId="37" applyFont="1" applyBorder="1" applyAlignment="1">
      <alignment horizontal="left" wrapText="1"/>
    </xf>
    <xf numFmtId="0" fontId="6" fillId="0" borderId="3" xfId="37" applyFont="1" applyBorder="1" applyAlignment="1">
      <alignment wrapText="1"/>
    </xf>
    <xf numFmtId="0" fontId="5" fillId="0" borderId="42" xfId="37" applyFont="1" applyBorder="1" applyAlignment="1">
      <alignment horizontal="left"/>
    </xf>
    <xf numFmtId="0" fontId="5" fillId="0" borderId="3" xfId="37" applyFont="1" applyBorder="1" applyAlignment="1">
      <alignment wrapText="1"/>
    </xf>
    <xf numFmtId="0" fontId="6" fillId="0" borderId="42" xfId="37" applyFont="1" applyBorder="1" applyAlignment="1">
      <alignment horizontal="right"/>
    </xf>
    <xf numFmtId="0" fontId="6" fillId="0" borderId="42" xfId="37" applyFont="1" applyBorder="1" applyAlignment="1">
      <alignment horizontal="center"/>
    </xf>
    <xf numFmtId="0" fontId="6" fillId="0" borderId="43" xfId="37" applyFont="1" applyBorder="1" applyAlignment="1">
      <alignment horizontal="center"/>
    </xf>
    <xf numFmtId="0" fontId="6" fillId="0" borderId="37" xfId="37" applyFont="1" applyBorder="1" applyAlignment="1">
      <alignment wrapText="1"/>
    </xf>
    <xf numFmtId="4" fontId="6" fillId="0" borderId="9" xfId="37" applyNumberFormat="1" applyFont="1" applyBorder="1"/>
    <xf numFmtId="0" fontId="6" fillId="0" borderId="1" xfId="37" applyFont="1" applyBorder="1"/>
    <xf numFmtId="0" fontId="6" fillId="0" borderId="39" xfId="37" applyFont="1" applyBorder="1" applyAlignment="1">
      <alignment wrapText="1"/>
    </xf>
    <xf numFmtId="4" fontId="6" fillId="0" borderId="38" xfId="37" applyNumberFormat="1" applyFont="1" applyBorder="1"/>
    <xf numFmtId="0" fontId="25" fillId="0" borderId="10" xfId="37" applyFont="1" applyBorder="1" applyAlignment="1">
      <alignment horizontal="center"/>
    </xf>
    <xf numFmtId="4" fontId="5" fillId="0" borderId="23" xfId="37" applyNumberFormat="1" applyFont="1" applyBorder="1" applyAlignment="1">
      <alignment horizontal="center" wrapText="1"/>
    </xf>
    <xf numFmtId="0" fontId="26" fillId="0" borderId="16" xfId="37" applyFont="1" applyBorder="1" applyAlignment="1">
      <alignment wrapText="1"/>
    </xf>
    <xf numFmtId="4" fontId="5" fillId="0" borderId="18" xfId="37" applyNumberFormat="1" applyFont="1" applyBorder="1" applyAlignment="1">
      <alignment horizontal="right"/>
    </xf>
    <xf numFmtId="4" fontId="21" fillId="0" borderId="0" xfId="37" applyNumberFormat="1" applyFont="1"/>
    <xf numFmtId="4" fontId="6" fillId="0" borderId="45" xfId="37" applyNumberFormat="1" applyFont="1" applyBorder="1" applyAlignment="1">
      <alignment horizontal="right"/>
    </xf>
    <xf numFmtId="0" fontId="21" fillId="0" borderId="0" xfId="37" applyFont="1"/>
    <xf numFmtId="0" fontId="26" fillId="0" borderId="16" xfId="37" applyFont="1" applyBorder="1"/>
    <xf numFmtId="0" fontId="27" fillId="0" borderId="16" xfId="37" applyFont="1" applyBorder="1" applyAlignment="1">
      <alignment wrapText="1"/>
    </xf>
    <xf numFmtId="0" fontId="6" fillId="0" borderId="44" xfId="37" applyFont="1" applyBorder="1" applyAlignment="1">
      <alignment wrapText="1"/>
    </xf>
    <xf numFmtId="165" fontId="21" fillId="0" borderId="0" xfId="37" applyNumberFormat="1" applyFont="1"/>
    <xf numFmtId="4" fontId="23" fillId="10" borderId="0" xfId="37" applyNumberFormat="1" applyFont="1" applyFill="1"/>
    <xf numFmtId="0" fontId="20" fillId="0" borderId="41" xfId="37" applyFont="1" applyBorder="1" applyAlignment="1">
      <alignment wrapText="1"/>
    </xf>
    <xf numFmtId="4" fontId="6" fillId="0" borderId="40" xfId="37" applyNumberFormat="1" applyFont="1" applyBorder="1" applyAlignment="1">
      <alignment horizontal="right"/>
    </xf>
    <xf numFmtId="0" fontId="20" fillId="0" borderId="38" xfId="37" applyFont="1" applyBorder="1" applyAlignment="1">
      <alignment wrapText="1"/>
    </xf>
    <xf numFmtId="4" fontId="6" fillId="0" borderId="24" xfId="37" applyNumberFormat="1" applyFont="1" applyBorder="1" applyAlignment="1">
      <alignment horizontal="right"/>
    </xf>
    <xf numFmtId="0" fontId="20" fillId="0" borderId="41" xfId="37" applyFont="1" applyBorder="1"/>
    <xf numFmtId="0" fontId="6" fillId="0" borderId="41" xfId="37" applyFont="1" applyBorder="1" applyAlignment="1">
      <alignment wrapText="1"/>
    </xf>
    <xf numFmtId="0" fontId="6" fillId="0" borderId="8" xfId="37" applyFont="1" applyBorder="1" applyAlignment="1">
      <alignment wrapText="1"/>
    </xf>
    <xf numFmtId="0" fontId="6" fillId="0" borderId="38" xfId="37" applyFont="1" applyBorder="1" applyAlignment="1">
      <alignment wrapText="1"/>
    </xf>
    <xf numFmtId="4" fontId="6" fillId="0" borderId="38" xfId="37" applyNumberFormat="1" applyFont="1" applyBorder="1" applyAlignment="1">
      <alignment horizontal="right"/>
    </xf>
    <xf numFmtId="0" fontId="28" fillId="2" borderId="0" xfId="22" applyFont="1" applyFill="1"/>
    <xf numFmtId="0" fontId="28" fillId="2" borderId="0" xfId="22" applyFont="1" applyFill="1" applyBorder="1"/>
    <xf numFmtId="166" fontId="28" fillId="2" borderId="0" xfId="0" applyNumberFormat="1" applyFont="1" applyFill="1" applyBorder="1" applyAlignment="1" applyProtection="1">
      <protection hidden="1"/>
    </xf>
    <xf numFmtId="166" fontId="28" fillId="2" borderId="20" xfId="0" applyNumberFormat="1" applyFont="1" applyFill="1" applyBorder="1" applyAlignment="1" applyProtection="1">
      <protection hidden="1"/>
    </xf>
    <xf numFmtId="0" fontId="28" fillId="2" borderId="0" xfId="36" applyFont="1" applyFill="1" applyBorder="1"/>
    <xf numFmtId="0" fontId="28" fillId="2" borderId="0" xfId="22" applyFont="1" applyFill="1" applyProtection="1"/>
    <xf numFmtId="0" fontId="28" fillId="2" borderId="0" xfId="22" applyFont="1" applyFill="1" applyBorder="1" applyAlignment="1">
      <alignment vertical="center"/>
    </xf>
    <xf numFmtId="0" fontId="28" fillId="2" borderId="0" xfId="22" applyFont="1" applyFill="1" applyProtection="1">
      <protection locked="0"/>
    </xf>
    <xf numFmtId="0" fontId="30" fillId="5" borderId="32" xfId="36" applyFont="1" applyFill="1" applyBorder="1" applyAlignment="1">
      <alignment horizontal="center" vertical="center" wrapText="1"/>
    </xf>
    <xf numFmtId="0" fontId="30" fillId="5" borderId="18" xfId="36" applyFont="1" applyFill="1" applyBorder="1" applyAlignment="1">
      <alignment horizontal="center" vertical="center" wrapText="1"/>
    </xf>
    <xf numFmtId="2" fontId="30" fillId="5" borderId="6" xfId="22" applyNumberFormat="1" applyFont="1" applyFill="1" applyBorder="1" applyAlignment="1">
      <alignment vertical="center"/>
    </xf>
    <xf numFmtId="165" fontId="30" fillId="5" borderId="5" xfId="22" applyNumberFormat="1" applyFont="1" applyFill="1" applyBorder="1" applyAlignment="1">
      <alignment vertical="center"/>
    </xf>
    <xf numFmtId="4" fontId="30" fillId="5" borderId="23" xfId="22" applyNumberFormat="1" applyFont="1" applyFill="1" applyBorder="1" applyAlignment="1">
      <alignment vertical="center"/>
    </xf>
    <xf numFmtId="4" fontId="30" fillId="5" borderId="22" xfId="22" applyNumberFormat="1" applyFont="1" applyFill="1" applyBorder="1" applyAlignment="1">
      <alignment vertical="center"/>
    </xf>
    <xf numFmtId="2" fontId="30" fillId="2" borderId="14" xfId="22" applyNumberFormat="1" applyFont="1" applyFill="1" applyBorder="1" applyAlignment="1">
      <alignment vertical="center"/>
    </xf>
    <xf numFmtId="165" fontId="30" fillId="2" borderId="29" xfId="22" applyNumberFormat="1" applyFont="1" applyFill="1" applyBorder="1" applyAlignment="1">
      <alignment vertical="center"/>
    </xf>
    <xf numFmtId="4" fontId="30" fillId="2" borderId="0" xfId="22" applyNumberFormat="1" applyFont="1" applyFill="1" applyBorder="1" applyAlignment="1">
      <alignment vertical="center"/>
    </xf>
    <xf numFmtId="165" fontId="30" fillId="2" borderId="28" xfId="22" applyNumberFormat="1" applyFont="1" applyFill="1" applyBorder="1" applyAlignment="1">
      <alignment horizontal="right" vertical="center" wrapText="1"/>
    </xf>
    <xf numFmtId="4" fontId="30" fillId="2" borderId="12" xfId="22" applyNumberFormat="1" applyFont="1" applyFill="1" applyBorder="1" applyAlignment="1">
      <alignment vertical="center"/>
    </xf>
    <xf numFmtId="2" fontId="28" fillId="2" borderId="14" xfId="22" applyNumberFormat="1" applyFont="1" applyFill="1" applyBorder="1" applyAlignment="1">
      <alignment vertical="center"/>
    </xf>
    <xf numFmtId="165" fontId="28" fillId="2" borderId="29" xfId="22" applyNumberFormat="1" applyFont="1" applyFill="1" applyBorder="1" applyAlignment="1">
      <alignment vertical="center"/>
    </xf>
    <xf numFmtId="4" fontId="28" fillId="2" borderId="12" xfId="22" applyNumberFormat="1" applyFont="1" applyFill="1" applyBorder="1" applyAlignment="1">
      <alignment vertical="center"/>
    </xf>
    <xf numFmtId="4" fontId="28" fillId="2" borderId="0" xfId="22" applyNumberFormat="1" applyFont="1" applyFill="1" applyBorder="1"/>
    <xf numFmtId="4" fontId="28" fillId="2" borderId="0" xfId="36" applyNumberFormat="1" applyFont="1" applyFill="1" applyBorder="1"/>
    <xf numFmtId="49" fontId="28" fillId="2" borderId="0" xfId="36" applyNumberFormat="1" applyFont="1" applyFill="1" applyBorder="1" applyAlignment="1">
      <alignment horizontal="center" vertical="center"/>
    </xf>
    <xf numFmtId="4" fontId="28" fillId="2" borderId="0" xfId="22" applyNumberFormat="1" applyFont="1" applyFill="1"/>
    <xf numFmtId="4" fontId="28" fillId="2" borderId="0" xfId="36" applyNumberFormat="1" applyFont="1" applyFill="1"/>
    <xf numFmtId="0" fontId="28" fillId="2" borderId="0" xfId="36" applyNumberFormat="1" applyFont="1" applyFill="1"/>
    <xf numFmtId="165" fontId="28" fillId="2" borderId="0" xfId="36" applyNumberFormat="1" applyFont="1" applyFill="1" applyBorder="1"/>
    <xf numFmtId="175" fontId="28" fillId="2" borderId="0" xfId="36" applyNumberFormat="1" applyFont="1" applyFill="1"/>
    <xf numFmtId="2" fontId="30" fillId="2" borderId="14" xfId="22" applyNumberFormat="1" applyFont="1" applyFill="1" applyBorder="1" applyAlignment="1">
      <alignment vertical="center" wrapText="1"/>
    </xf>
    <xf numFmtId="165" fontId="28" fillId="2" borderId="0" xfId="22" applyNumberFormat="1" applyFont="1" applyFill="1"/>
    <xf numFmtId="0" fontId="28" fillId="2" borderId="0" xfId="36" applyFont="1" applyFill="1"/>
    <xf numFmtId="2" fontId="28" fillId="0" borderId="14" xfId="22" applyNumberFormat="1" applyFont="1" applyFill="1" applyBorder="1" applyAlignment="1">
      <alignment vertical="center"/>
    </xf>
    <xf numFmtId="165" fontId="28" fillId="0" borderId="29" xfId="22" applyNumberFormat="1" applyFont="1" applyFill="1" applyBorder="1" applyAlignment="1">
      <alignment vertical="center"/>
    </xf>
    <xf numFmtId="4" fontId="28" fillId="0" borderId="12" xfId="22" applyNumberFormat="1" applyFont="1" applyFill="1" applyBorder="1" applyAlignment="1">
      <alignment vertical="center"/>
    </xf>
    <xf numFmtId="49" fontId="28" fillId="2" borderId="0" xfId="22" applyNumberFormat="1" applyFont="1" applyFill="1" applyBorder="1" applyAlignment="1">
      <alignment wrapText="1"/>
    </xf>
    <xf numFmtId="2" fontId="32" fillId="2" borderId="0" xfId="22" applyNumberFormat="1" applyFont="1" applyFill="1" applyBorder="1" applyAlignment="1">
      <alignment vertical="center"/>
    </xf>
    <xf numFmtId="2" fontId="28" fillId="2" borderId="0" xfId="22" applyNumberFormat="1" applyFont="1" applyFill="1" applyBorder="1" applyAlignment="1">
      <alignment wrapText="1"/>
    </xf>
    <xf numFmtId="0" fontId="28" fillId="2" borderId="0" xfId="0" applyNumberFormat="1" applyFont="1" applyFill="1" applyBorder="1" applyAlignment="1" applyProtection="1">
      <protection hidden="1"/>
    </xf>
    <xf numFmtId="0" fontId="28" fillId="2" borderId="0" xfId="0" applyNumberFormat="1" applyFont="1" applyFill="1" applyBorder="1" applyAlignment="1" applyProtection="1">
      <alignment horizontal="left" vertical="center"/>
      <protection hidden="1"/>
    </xf>
    <xf numFmtId="0" fontId="28" fillId="2" borderId="0" xfId="0" applyNumberFormat="1" applyFont="1" applyFill="1" applyBorder="1" applyAlignment="1" applyProtection="1">
      <alignment vertical="center"/>
      <protection hidden="1"/>
    </xf>
    <xf numFmtId="166" fontId="28" fillId="12" borderId="37" xfId="0" applyNumberFormat="1" applyFont="1" applyFill="1" applyBorder="1" applyAlignment="1" applyProtection="1">
      <protection hidden="1"/>
    </xf>
    <xf numFmtId="166" fontId="28" fillId="12" borderId="46" xfId="0" applyNumberFormat="1" applyFont="1" applyFill="1" applyBorder="1" applyAlignment="1" applyProtection="1">
      <protection hidden="1"/>
    </xf>
    <xf numFmtId="2" fontId="28" fillId="12" borderId="0" xfId="0" applyNumberFormat="1" applyFont="1" applyFill="1" applyBorder="1" applyAlignment="1" applyProtection="1">
      <alignment horizontal="center" vertical="center"/>
      <protection hidden="1"/>
    </xf>
    <xf numFmtId="2" fontId="28" fillId="12" borderId="27" xfId="0" applyNumberFormat="1" applyFont="1" applyFill="1" applyBorder="1" applyAlignment="1" applyProtection="1">
      <alignment horizontal="center" vertical="center"/>
      <protection hidden="1"/>
    </xf>
    <xf numFmtId="0" fontId="28" fillId="12" borderId="48" xfId="0" applyNumberFormat="1" applyFont="1" applyFill="1" applyBorder="1" applyAlignment="1" applyProtection="1">
      <alignment horizontal="left" vertical="center"/>
      <protection hidden="1"/>
    </xf>
    <xf numFmtId="0" fontId="28" fillId="12" borderId="0" xfId="0" applyNumberFormat="1" applyFont="1" applyFill="1" applyBorder="1" applyAlignment="1" applyProtection="1">
      <alignment horizontal="left" vertical="center"/>
      <protection hidden="1"/>
    </xf>
    <xf numFmtId="166" fontId="28" fillId="12" borderId="48" xfId="0" applyNumberFormat="1" applyFont="1" applyFill="1" applyBorder="1" applyAlignment="1" applyProtection="1">
      <protection hidden="1"/>
    </xf>
    <xf numFmtId="166" fontId="28" fillId="12" borderId="0" xfId="0" applyNumberFormat="1" applyFont="1" applyFill="1" applyBorder="1" applyAlignment="1" applyProtection="1">
      <protection hidden="1"/>
    </xf>
    <xf numFmtId="0" fontId="28" fillId="12" borderId="27" xfId="22" applyFont="1" applyFill="1" applyBorder="1"/>
    <xf numFmtId="166" fontId="28" fillId="12" borderId="30" xfId="0" applyNumberFormat="1" applyFont="1" applyFill="1" applyBorder="1" applyAlignment="1" applyProtection="1">
      <protection hidden="1"/>
    </xf>
    <xf numFmtId="166" fontId="28" fillId="12" borderId="49" xfId="0" applyNumberFormat="1" applyFont="1" applyFill="1" applyBorder="1" applyAlignment="1" applyProtection="1">
      <protection hidden="1"/>
    </xf>
    <xf numFmtId="0" fontId="28" fillId="12" borderId="37" xfId="0" applyNumberFormat="1" applyFont="1" applyFill="1" applyBorder="1" applyAlignment="1" applyProtection="1">
      <protection hidden="1"/>
    </xf>
    <xf numFmtId="0" fontId="28" fillId="12" borderId="46" xfId="0" applyNumberFormat="1" applyFont="1" applyFill="1" applyBorder="1" applyAlignment="1" applyProtection="1">
      <protection hidden="1"/>
    </xf>
    <xf numFmtId="0" fontId="28" fillId="12" borderId="37" xfId="0" applyNumberFormat="1" applyFont="1" applyFill="1" applyBorder="1" applyAlignment="1" applyProtection="1">
      <alignment vertical="center"/>
      <protection hidden="1"/>
    </xf>
    <xf numFmtId="0" fontId="28" fillId="12" borderId="46" xfId="0" applyNumberFormat="1" applyFont="1" applyFill="1" applyBorder="1" applyAlignment="1" applyProtection="1">
      <alignment vertical="center"/>
      <protection hidden="1"/>
    </xf>
    <xf numFmtId="2" fontId="28" fillId="12" borderId="46" xfId="0" applyNumberFormat="1" applyFont="1" applyFill="1" applyBorder="1" applyAlignment="1" applyProtection="1">
      <alignment horizontal="center" vertical="center"/>
      <protection hidden="1"/>
    </xf>
    <xf numFmtId="2" fontId="28" fillId="12" borderId="47" xfId="0" applyNumberFormat="1" applyFont="1" applyFill="1" applyBorder="1" applyAlignment="1" applyProtection="1">
      <alignment horizontal="center" vertical="center"/>
      <protection hidden="1"/>
    </xf>
    <xf numFmtId="0" fontId="28" fillId="12" borderId="30" xfId="0" applyNumberFormat="1" applyFont="1" applyFill="1" applyBorder="1" applyAlignment="1" applyProtection="1">
      <alignment horizontal="left" vertical="center"/>
      <protection hidden="1"/>
    </xf>
    <xf numFmtId="0" fontId="28" fillId="12" borderId="49" xfId="0" applyNumberFormat="1" applyFont="1" applyFill="1" applyBorder="1" applyAlignment="1" applyProtection="1">
      <alignment horizontal="left" vertical="center"/>
      <protection hidden="1"/>
    </xf>
    <xf numFmtId="2" fontId="28" fillId="12" borderId="49" xfId="0" applyNumberFormat="1" applyFont="1" applyFill="1" applyBorder="1" applyAlignment="1" applyProtection="1">
      <alignment horizontal="center" vertical="center"/>
      <protection hidden="1"/>
    </xf>
    <xf numFmtId="166" fontId="28" fillId="12" borderId="3" xfId="0" applyNumberFormat="1" applyFont="1" applyFill="1" applyBorder="1" applyAlignment="1" applyProtection="1">
      <protection hidden="1"/>
    </xf>
    <xf numFmtId="166" fontId="28" fillId="12" borderId="4" xfId="0" applyNumberFormat="1" applyFont="1" applyFill="1" applyBorder="1" applyAlignment="1" applyProtection="1">
      <protection hidden="1"/>
    </xf>
    <xf numFmtId="0" fontId="30" fillId="12" borderId="46" xfId="0" applyNumberFormat="1" applyFont="1" applyFill="1" applyBorder="1" applyAlignment="1" applyProtection="1">
      <alignment horizontal="center"/>
      <protection hidden="1"/>
    </xf>
    <xf numFmtId="0" fontId="30" fillId="12" borderId="47" xfId="22" applyNumberFormat="1" applyFont="1" applyFill="1" applyBorder="1" applyAlignment="1">
      <alignment horizontal="center"/>
    </xf>
    <xf numFmtId="2" fontId="28" fillId="12" borderId="46" xfId="0" applyNumberFormat="1" applyFont="1" applyFill="1" applyBorder="1" applyAlignment="1" applyProtection="1">
      <protection hidden="1"/>
    </xf>
    <xf numFmtId="2" fontId="28" fillId="12" borderId="49" xfId="0" applyNumberFormat="1" applyFont="1" applyFill="1" applyBorder="1" applyAlignment="1" applyProtection="1">
      <protection hidden="1"/>
    </xf>
    <xf numFmtId="2" fontId="28" fillId="2" borderId="0" xfId="22" applyNumberFormat="1" applyFont="1" applyFill="1" applyBorder="1"/>
    <xf numFmtId="0" fontId="30" fillId="2" borderId="0" xfId="22" applyNumberFormat="1" applyFont="1" applyFill="1" applyBorder="1" applyAlignment="1">
      <alignment horizontal="center"/>
    </xf>
    <xf numFmtId="2" fontId="28" fillId="2" borderId="0" xfId="0" applyNumberFormat="1" applyFont="1" applyFill="1" applyBorder="1" applyAlignment="1" applyProtection="1">
      <alignment horizontal="center" vertical="center"/>
      <protection hidden="1"/>
    </xf>
    <xf numFmtId="2" fontId="28" fillId="2" borderId="0" xfId="22" applyNumberFormat="1" applyFont="1" applyFill="1" applyBorder="1" applyAlignment="1">
      <alignment horizontal="center"/>
    </xf>
    <xf numFmtId="2" fontId="28" fillId="12" borderId="47" xfId="0" applyNumberFormat="1" applyFont="1" applyFill="1" applyBorder="1" applyAlignment="1" applyProtection="1">
      <protection hidden="1"/>
    </xf>
    <xf numFmtId="2" fontId="28" fillId="12" borderId="31" xfId="0" applyNumberFormat="1" applyFont="1" applyFill="1" applyBorder="1" applyAlignment="1" applyProtection="1">
      <protection hidden="1"/>
    </xf>
    <xf numFmtId="0" fontId="30" fillId="5" borderId="34" xfId="36" applyFont="1" applyFill="1" applyBorder="1" applyAlignment="1">
      <alignment horizontal="center" vertical="center" wrapText="1"/>
    </xf>
    <xf numFmtId="10" fontId="28" fillId="2" borderId="2" xfId="38" applyNumberFormat="1" applyFont="1" applyFill="1" applyBorder="1" applyAlignment="1" applyProtection="1">
      <alignment vertical="center"/>
      <protection hidden="1"/>
    </xf>
    <xf numFmtId="2" fontId="28" fillId="12" borderId="31" xfId="22" applyNumberFormat="1" applyFont="1" applyFill="1" applyBorder="1" applyAlignment="1">
      <alignment horizontal="center" vertical="center"/>
    </xf>
    <xf numFmtId="0" fontId="30" fillId="12" borderId="46" xfId="22" applyNumberFormat="1" applyFont="1" applyFill="1" applyBorder="1" applyAlignment="1">
      <alignment horizontal="center"/>
    </xf>
    <xf numFmtId="2" fontId="28" fillId="12" borderId="49" xfId="22" applyNumberFormat="1" applyFont="1" applyFill="1" applyBorder="1" applyAlignment="1">
      <alignment horizontal="center" vertical="center"/>
    </xf>
    <xf numFmtId="0" fontId="28" fillId="12" borderId="0" xfId="22" applyFont="1" applyFill="1" applyBorder="1"/>
    <xf numFmtId="0" fontId="28" fillId="2" borderId="0" xfId="22" applyNumberFormat="1" applyFont="1" applyFill="1" applyBorder="1"/>
    <xf numFmtId="49" fontId="28" fillId="2" borderId="0" xfId="22" applyNumberFormat="1" applyFont="1" applyFill="1" applyAlignment="1"/>
    <xf numFmtId="49" fontId="28" fillId="2" borderId="0" xfId="22" applyNumberFormat="1" applyFont="1" applyFill="1" applyAlignment="1">
      <alignment wrapText="1"/>
    </xf>
    <xf numFmtId="0" fontId="28" fillId="2" borderId="0" xfId="22" applyNumberFormat="1" applyFont="1" applyFill="1"/>
    <xf numFmtId="44" fontId="28" fillId="2" borderId="0" xfId="22" applyNumberFormat="1" applyFont="1" applyFill="1" applyBorder="1" applyAlignment="1">
      <alignment vertical="center"/>
    </xf>
    <xf numFmtId="0" fontId="28" fillId="2" borderId="0" xfId="22" applyNumberFormat="1" applyFont="1" applyFill="1" applyBorder="1" applyAlignment="1">
      <alignment vertical="center"/>
    </xf>
    <xf numFmtId="49" fontId="28" fillId="2" borderId="0" xfId="22" applyNumberFormat="1" applyFont="1" applyFill="1" applyBorder="1" applyAlignment="1">
      <alignment horizontal="left" wrapText="1" indent="1"/>
    </xf>
    <xf numFmtId="49" fontId="28" fillId="2" borderId="0" xfId="22" applyNumberFormat="1" applyFont="1" applyFill="1" applyBorder="1" applyAlignment="1">
      <alignment horizontal="left" wrapText="1" indent="2"/>
    </xf>
    <xf numFmtId="0" fontId="28" fillId="2" borderId="0" xfId="22" applyNumberFormat="1" applyFont="1" applyFill="1" applyBorder="1" applyAlignment="1">
      <alignment horizontal="left" wrapText="1" indent="2"/>
    </xf>
    <xf numFmtId="0" fontId="28" fillId="2" borderId="0" xfId="36" applyNumberFormat="1" applyFont="1" applyFill="1" applyBorder="1"/>
    <xf numFmtId="0" fontId="28" fillId="2" borderId="0" xfId="36" applyNumberFormat="1" applyFont="1" applyFill="1" applyBorder="1" applyAlignment="1">
      <alignment horizontal="center" vertical="center"/>
    </xf>
    <xf numFmtId="0" fontId="28" fillId="2" borderId="0" xfId="22" applyFont="1" applyFill="1" applyBorder="1" applyAlignment="1"/>
    <xf numFmtId="0" fontId="28" fillId="2" borderId="0" xfId="22" applyFont="1" applyFill="1" applyBorder="1" applyAlignment="1">
      <alignment wrapText="1"/>
    </xf>
    <xf numFmtId="0" fontId="28" fillId="2" borderId="0" xfId="22" applyFont="1" applyFill="1" applyBorder="1" applyAlignment="1">
      <alignment horizontal="center" wrapText="1"/>
    </xf>
    <xf numFmtId="0" fontId="28" fillId="2" borderId="0" xfId="22" applyFont="1" applyFill="1" applyBorder="1" applyAlignment="1">
      <alignment horizontal="right"/>
    </xf>
    <xf numFmtId="0" fontId="28" fillId="2" borderId="0" xfId="22" applyFont="1" applyFill="1" applyAlignment="1">
      <alignment wrapText="1"/>
    </xf>
    <xf numFmtId="2" fontId="28" fillId="2" borderId="0" xfId="22" applyNumberFormat="1" applyFont="1" applyFill="1" applyBorder="1" applyAlignment="1">
      <alignment horizontal="right"/>
    </xf>
    <xf numFmtId="167" fontId="28" fillId="2" borderId="0" xfId="22" applyNumberFormat="1" applyFont="1" applyFill="1"/>
    <xf numFmtId="165" fontId="28" fillId="2" borderId="0" xfId="22" applyNumberFormat="1" applyFont="1" applyFill="1" applyBorder="1"/>
    <xf numFmtId="4" fontId="40" fillId="0" borderId="52" xfId="0" applyNumberFormat="1" applyFont="1" applyBorder="1"/>
    <xf numFmtId="0" fontId="28" fillId="2" borderId="33" xfId="22" applyFont="1" applyFill="1" applyBorder="1"/>
    <xf numFmtId="2" fontId="30" fillId="2" borderId="6" xfId="22" applyNumberFormat="1" applyFont="1" applyFill="1" applyBorder="1" applyAlignment="1">
      <alignment vertical="center"/>
    </xf>
    <xf numFmtId="165" fontId="30" fillId="2" borderId="5" xfId="22" applyNumberFormat="1" applyFont="1" applyFill="1" applyBorder="1" applyAlignment="1">
      <alignment vertical="center"/>
    </xf>
    <xf numFmtId="4" fontId="30" fillId="2" borderId="23" xfId="22" applyNumberFormat="1" applyFont="1" applyFill="1" applyBorder="1" applyAlignment="1">
      <alignment vertical="center"/>
    </xf>
    <xf numFmtId="0" fontId="30" fillId="5" borderId="32" xfId="22" applyFont="1" applyFill="1" applyBorder="1" applyAlignment="1">
      <alignment horizontal="center" vertical="center" wrapText="1"/>
    </xf>
    <xf numFmtId="0" fontId="30" fillId="5" borderId="18" xfId="22" applyFont="1" applyFill="1" applyBorder="1" applyAlignment="1">
      <alignment horizontal="center" vertical="center" wrapText="1"/>
    </xf>
    <xf numFmtId="0" fontId="30" fillId="5" borderId="21" xfId="22" applyFont="1" applyFill="1" applyBorder="1" applyAlignment="1">
      <alignment horizontal="center" vertical="center" wrapText="1"/>
    </xf>
    <xf numFmtId="0" fontId="30" fillId="5" borderId="35" xfId="22" applyFont="1" applyFill="1" applyBorder="1" applyAlignment="1">
      <alignment horizontal="center" vertical="center" wrapText="1"/>
    </xf>
    <xf numFmtId="0" fontId="30" fillId="5" borderId="17" xfId="22" applyFont="1" applyFill="1" applyBorder="1" applyAlignment="1">
      <alignment horizontal="center" vertical="center" wrapText="1"/>
    </xf>
    <xf numFmtId="165" fontId="30" fillId="2" borderId="29" xfId="36" applyNumberFormat="1" applyFont="1" applyFill="1" applyBorder="1" applyAlignment="1">
      <alignment vertical="center"/>
    </xf>
    <xf numFmtId="4" fontId="30" fillId="2" borderId="0" xfId="36" applyNumberFormat="1" applyFont="1" applyFill="1" applyBorder="1" applyAlignment="1">
      <alignment vertical="center"/>
    </xf>
    <xf numFmtId="165" fontId="28" fillId="0" borderId="29" xfId="36" applyNumberFormat="1" applyFont="1" applyFill="1" applyBorder="1" applyAlignment="1">
      <alignment vertical="center"/>
    </xf>
    <xf numFmtId="4" fontId="28" fillId="2" borderId="0" xfId="22" applyNumberFormat="1" applyFont="1" applyFill="1" applyBorder="1" applyAlignment="1">
      <alignment vertical="center"/>
    </xf>
    <xf numFmtId="165" fontId="28" fillId="2" borderId="29" xfId="36" applyNumberFormat="1" applyFont="1" applyFill="1" applyBorder="1" applyAlignment="1">
      <alignment vertical="center"/>
    </xf>
    <xf numFmtId="4" fontId="28" fillId="2" borderId="0" xfId="36" applyNumberFormat="1" applyFont="1" applyFill="1" applyBorder="1" applyAlignment="1">
      <alignment vertical="center"/>
    </xf>
    <xf numFmtId="4" fontId="30" fillId="2" borderId="12" xfId="36" applyNumberFormat="1" applyFont="1" applyFill="1" applyBorder="1" applyAlignment="1">
      <alignment vertical="center"/>
    </xf>
    <xf numFmtId="4" fontId="30" fillId="0" borderId="52" xfId="0" applyNumberFormat="1" applyFont="1" applyBorder="1"/>
    <xf numFmtId="4" fontId="30" fillId="5" borderId="22" xfId="36" applyNumberFormat="1" applyFont="1" applyFill="1" applyBorder="1" applyAlignment="1">
      <alignment vertical="center"/>
    </xf>
    <xf numFmtId="0" fontId="31" fillId="2" borderId="0" xfId="22" applyFont="1" applyFill="1" applyBorder="1"/>
    <xf numFmtId="165" fontId="30" fillId="5" borderId="5" xfId="36" applyNumberFormat="1" applyFont="1" applyFill="1" applyBorder="1" applyAlignment="1">
      <alignment vertical="center"/>
    </xf>
    <xf numFmtId="165" fontId="30" fillId="2" borderId="5" xfId="36" applyNumberFormat="1" applyFont="1" applyFill="1" applyBorder="1" applyAlignment="1">
      <alignment vertical="center"/>
    </xf>
    <xf numFmtId="4" fontId="30" fillId="2" borderId="22" xfId="36" applyNumberFormat="1" applyFont="1" applyFill="1" applyBorder="1" applyAlignment="1">
      <alignment vertical="center"/>
    </xf>
    <xf numFmtId="4" fontId="30" fillId="5" borderId="6" xfId="22" applyNumberFormat="1" applyFont="1" applyFill="1" applyBorder="1" applyAlignment="1">
      <alignment vertical="center"/>
    </xf>
    <xf numFmtId="4" fontId="28" fillId="0" borderId="0" xfId="36" applyNumberFormat="1" applyFont="1" applyFill="1" applyBorder="1" applyAlignment="1">
      <alignment vertical="center"/>
    </xf>
    <xf numFmtId="4" fontId="30" fillId="2" borderId="22" xfId="22" applyNumberFormat="1" applyFont="1" applyFill="1" applyBorder="1" applyAlignment="1">
      <alignment vertical="center"/>
    </xf>
    <xf numFmtId="165" fontId="30" fillId="14" borderId="29" xfId="36" applyNumberFormat="1" applyFont="1" applyFill="1" applyBorder="1" applyAlignment="1">
      <alignment vertical="center"/>
    </xf>
    <xf numFmtId="165" fontId="30" fillId="2" borderId="11" xfId="36" applyNumberFormat="1" applyFont="1" applyFill="1" applyBorder="1" applyAlignment="1">
      <alignment vertical="center"/>
    </xf>
    <xf numFmtId="166" fontId="28" fillId="5" borderId="10" xfId="0" applyNumberFormat="1" applyFont="1" applyFill="1" applyBorder="1" applyAlignment="1" applyProtection="1">
      <alignment horizontal="center" vertical="center"/>
      <protection hidden="1"/>
    </xf>
    <xf numFmtId="166" fontId="28" fillId="2" borderId="14" xfId="0" applyNumberFormat="1" applyFont="1" applyFill="1" applyBorder="1" applyAlignment="1" applyProtection="1">
      <alignment vertical="center"/>
      <protection hidden="1"/>
    </xf>
    <xf numFmtId="0" fontId="31" fillId="2" borderId="21" xfId="36" applyFont="1" applyFill="1" applyBorder="1" applyAlignment="1"/>
    <xf numFmtId="165" fontId="30" fillId="5" borderId="11" xfId="36" applyNumberFormat="1" applyFont="1" applyFill="1" applyBorder="1" applyAlignment="1">
      <alignment vertical="center"/>
    </xf>
    <xf numFmtId="4" fontId="30" fillId="5" borderId="21" xfId="36" applyNumberFormat="1" applyFont="1" applyFill="1" applyBorder="1" applyAlignment="1">
      <alignment vertical="center"/>
    </xf>
    <xf numFmtId="4" fontId="28" fillId="11" borderId="0" xfId="39" applyNumberFormat="1" applyFont="1" applyBorder="1" applyAlignment="1">
      <alignment vertical="center"/>
    </xf>
    <xf numFmtId="165" fontId="30" fillId="0" borderId="29" xfId="36" applyNumberFormat="1" applyFont="1" applyFill="1" applyBorder="1" applyAlignment="1">
      <alignment vertical="center"/>
    </xf>
    <xf numFmtId="0" fontId="28" fillId="2" borderId="0" xfId="22" applyFont="1" applyFill="1" applyBorder="1" applyAlignment="1">
      <alignment horizontal="center"/>
    </xf>
    <xf numFmtId="165" fontId="30" fillId="2" borderId="0" xfId="36" applyNumberFormat="1" applyFont="1" applyFill="1" applyBorder="1" applyAlignment="1">
      <alignment vertical="center"/>
    </xf>
    <xf numFmtId="0" fontId="29" fillId="7" borderId="6" xfId="22" applyFont="1" applyFill="1" applyBorder="1" applyAlignment="1">
      <alignment vertical="center"/>
    </xf>
    <xf numFmtId="0" fontId="30" fillId="6" borderId="32" xfId="22" applyFont="1" applyFill="1" applyBorder="1" applyAlignment="1">
      <alignment horizontal="center" vertical="center" wrapText="1"/>
    </xf>
    <xf numFmtId="0" fontId="30" fillId="6" borderId="18" xfId="22" applyFont="1" applyFill="1" applyBorder="1" applyAlignment="1">
      <alignment horizontal="center" vertical="center" wrapText="1"/>
    </xf>
    <xf numFmtId="0" fontId="30" fillId="6" borderId="21" xfId="22" applyFont="1" applyFill="1" applyBorder="1" applyAlignment="1">
      <alignment horizontal="center" vertical="center" wrapText="1"/>
    </xf>
    <xf numFmtId="0" fontId="30" fillId="6" borderId="35" xfId="22" applyFont="1" applyFill="1" applyBorder="1" applyAlignment="1">
      <alignment horizontal="center" vertical="center" wrapText="1"/>
    </xf>
    <xf numFmtId="0" fontId="30" fillId="6" borderId="17" xfId="22" applyFont="1" applyFill="1" applyBorder="1" applyAlignment="1">
      <alignment horizontal="center" vertical="center" wrapText="1"/>
    </xf>
    <xf numFmtId="0" fontId="30" fillId="6" borderId="32" xfId="36" applyFont="1" applyFill="1" applyBorder="1" applyAlignment="1">
      <alignment horizontal="center" vertical="center" wrapText="1"/>
    </xf>
    <xf numFmtId="0" fontId="30" fillId="6" borderId="18" xfId="36" applyFont="1" applyFill="1" applyBorder="1" applyAlignment="1">
      <alignment horizontal="center" vertical="center" wrapText="1"/>
    </xf>
    <xf numFmtId="0" fontId="30" fillId="6" borderId="34" xfId="36" applyFont="1" applyFill="1" applyBorder="1" applyAlignment="1">
      <alignment horizontal="center" vertical="center" wrapText="1"/>
    </xf>
    <xf numFmtId="165" fontId="30" fillId="6" borderId="5" xfId="22" applyNumberFormat="1" applyFont="1" applyFill="1" applyBorder="1" applyAlignment="1">
      <alignment vertical="center"/>
    </xf>
    <xf numFmtId="4" fontId="30" fillId="6" borderId="23" xfId="22" applyNumberFormat="1" applyFont="1" applyFill="1" applyBorder="1" applyAlignment="1">
      <alignment vertical="center"/>
    </xf>
    <xf numFmtId="4" fontId="41" fillId="11" borderId="0" xfId="39" applyNumberFormat="1" applyFont="1" applyBorder="1" applyAlignment="1">
      <alignment vertical="center"/>
    </xf>
    <xf numFmtId="0" fontId="29" fillId="2" borderId="0" xfId="22" applyFont="1" applyFill="1" applyBorder="1"/>
    <xf numFmtId="0" fontId="29" fillId="2" borderId="0" xfId="22" applyFont="1" applyFill="1" applyBorder="1" applyAlignment="1">
      <alignment vertical="center"/>
    </xf>
    <xf numFmtId="165" fontId="30" fillId="6" borderId="11" xfId="36" applyNumberFormat="1" applyFont="1" applyFill="1" applyBorder="1" applyAlignment="1">
      <alignment vertical="center"/>
    </xf>
    <xf numFmtId="4" fontId="30" fillId="6" borderId="21" xfId="36" applyNumberFormat="1" applyFont="1" applyFill="1" applyBorder="1" applyAlignment="1">
      <alignment vertical="center"/>
    </xf>
    <xf numFmtId="165" fontId="30" fillId="6" borderId="5" xfId="36" applyNumberFormat="1" applyFont="1" applyFill="1" applyBorder="1" applyAlignment="1">
      <alignment vertical="center"/>
    </xf>
    <xf numFmtId="166" fontId="28" fillId="6" borderId="10" xfId="0" applyNumberFormat="1" applyFont="1" applyFill="1" applyBorder="1" applyAlignment="1" applyProtection="1">
      <alignment horizontal="center" vertical="center"/>
      <protection hidden="1"/>
    </xf>
    <xf numFmtId="2" fontId="30" fillId="6" borderId="6" xfId="22" applyNumberFormat="1" applyFont="1" applyFill="1" applyBorder="1" applyAlignment="1">
      <alignment vertical="center"/>
    </xf>
    <xf numFmtId="4" fontId="30" fillId="6" borderId="22" xfId="36" applyNumberFormat="1" applyFont="1" applyFill="1" applyBorder="1" applyAlignment="1">
      <alignment vertical="center"/>
    </xf>
    <xf numFmtId="4" fontId="30" fillId="6" borderId="22" xfId="22" applyNumberFormat="1" applyFont="1" applyFill="1" applyBorder="1" applyAlignment="1">
      <alignment vertical="center"/>
    </xf>
    <xf numFmtId="4" fontId="30" fillId="6" borderId="6" xfId="22" applyNumberFormat="1" applyFont="1" applyFill="1" applyBorder="1" applyAlignment="1">
      <alignment vertical="center"/>
    </xf>
    <xf numFmtId="176" fontId="30" fillId="5" borderId="22" xfId="36" applyNumberFormat="1" applyFont="1" applyFill="1" applyBorder="1" applyAlignment="1">
      <alignment vertical="center"/>
    </xf>
    <xf numFmtId="176" fontId="30" fillId="2" borderId="0" xfId="36" applyNumberFormat="1" applyFont="1" applyFill="1" applyBorder="1" applyAlignment="1">
      <alignment vertical="center"/>
    </xf>
    <xf numFmtId="176" fontId="28" fillId="2" borderId="0" xfId="36" applyNumberFormat="1" applyFont="1" applyFill="1" applyBorder="1" applyAlignment="1">
      <alignment vertical="center"/>
    </xf>
    <xf numFmtId="176" fontId="30" fillId="2" borderId="22" xfId="36" applyNumberFormat="1" applyFont="1" applyFill="1" applyBorder="1" applyAlignment="1">
      <alignment vertical="center"/>
    </xf>
    <xf numFmtId="0" fontId="30" fillId="5" borderId="20" xfId="36" applyFont="1" applyFill="1" applyBorder="1" applyAlignment="1">
      <alignment horizontal="center" vertical="center"/>
    </xf>
    <xf numFmtId="0" fontId="30" fillId="5" borderId="21" xfId="36" applyFont="1" applyFill="1" applyBorder="1" applyAlignment="1">
      <alignment horizontal="center" vertical="center"/>
    </xf>
    <xf numFmtId="166" fontId="28" fillId="5" borderId="23" xfId="0" applyNumberFormat="1" applyFont="1" applyFill="1" applyBorder="1" applyAlignment="1" applyProtection="1">
      <alignment horizontal="center" vertical="center"/>
      <protection hidden="1"/>
    </xf>
    <xf numFmtId="0" fontId="2" fillId="0" borderId="0" xfId="37" applyFont="1"/>
    <xf numFmtId="165" fontId="28" fillId="2" borderId="0" xfId="36" applyNumberFormat="1" applyFont="1" applyFill="1"/>
    <xf numFmtId="0" fontId="29" fillId="9" borderId="6" xfId="22" applyFont="1" applyFill="1" applyBorder="1" applyAlignment="1">
      <alignment vertical="center"/>
    </xf>
    <xf numFmtId="4" fontId="28" fillId="2" borderId="29" xfId="36" applyNumberFormat="1" applyFont="1" applyFill="1" applyBorder="1" applyAlignment="1">
      <alignment vertical="center"/>
    </xf>
    <xf numFmtId="0" fontId="43" fillId="0" borderId="0" xfId="0" applyFont="1"/>
    <xf numFmtId="175" fontId="0" fillId="0" borderId="0" xfId="0" applyNumberFormat="1"/>
    <xf numFmtId="0" fontId="28" fillId="2" borderId="33" xfId="22" applyFont="1" applyFill="1" applyBorder="1" applyAlignment="1"/>
    <xf numFmtId="0" fontId="30" fillId="5" borderId="0" xfId="36" applyFont="1" applyFill="1" applyBorder="1" applyAlignment="1">
      <alignment horizontal="center" vertical="center" wrapText="1"/>
    </xf>
    <xf numFmtId="165" fontId="28" fillId="10" borderId="29" xfId="36" applyNumberFormat="1" applyFont="1" applyFill="1" applyBorder="1" applyAlignment="1">
      <alignment vertical="center"/>
    </xf>
    <xf numFmtId="4" fontId="28" fillId="10" borderId="12" xfId="22" applyNumberFormat="1" applyFont="1" applyFill="1" applyBorder="1" applyAlignment="1">
      <alignment vertical="center"/>
    </xf>
    <xf numFmtId="165" fontId="30" fillId="10" borderId="5" xfId="22" applyNumberFormat="1" applyFont="1" applyFill="1" applyBorder="1" applyAlignment="1">
      <alignment vertical="center"/>
    </xf>
    <xf numFmtId="4" fontId="30" fillId="10" borderId="23" xfId="22" applyNumberFormat="1" applyFont="1" applyFill="1" applyBorder="1" applyAlignment="1">
      <alignment vertical="center"/>
    </xf>
    <xf numFmtId="165" fontId="30" fillId="10" borderId="29" xfId="36" applyNumberFormat="1" applyFont="1" applyFill="1" applyBorder="1" applyAlignment="1">
      <alignment vertical="center"/>
    </xf>
    <xf numFmtId="4" fontId="28" fillId="0" borderId="0" xfId="22" applyNumberFormat="1" applyFont="1" applyFill="1" applyBorder="1" applyAlignment="1">
      <alignment vertical="center"/>
    </xf>
    <xf numFmtId="0" fontId="44" fillId="2" borderId="0" xfId="22" applyFont="1" applyFill="1" applyAlignment="1">
      <alignment horizontal="center" vertical="center"/>
    </xf>
    <xf numFmtId="0" fontId="45" fillId="2" borderId="0" xfId="22" applyFont="1" applyFill="1" applyAlignment="1">
      <alignment horizontal="center" vertical="center"/>
    </xf>
    <xf numFmtId="165" fontId="44" fillId="2" borderId="0" xfId="22" applyNumberFormat="1" applyFont="1" applyFill="1" applyAlignment="1">
      <alignment horizontal="center" vertical="center"/>
    </xf>
    <xf numFmtId="0" fontId="6" fillId="0" borderId="0" xfId="0" applyFont="1" applyProtection="1"/>
    <xf numFmtId="0" fontId="6" fillId="0" borderId="0" xfId="0" applyFont="1" applyAlignment="1" applyProtection="1">
      <alignment horizontal="right"/>
    </xf>
    <xf numFmtId="0" fontId="27" fillId="0" borderId="0" xfId="0" applyFont="1" applyBorder="1" applyAlignment="1" applyProtection="1">
      <alignment horizontal="center" vertical="center" wrapText="1"/>
    </xf>
    <xf numFmtId="0" fontId="5" fillId="0" borderId="74" xfId="0" applyFont="1" applyBorder="1" applyAlignment="1" applyProtection="1">
      <alignment horizontal="left" vertical="center"/>
    </xf>
    <xf numFmtId="0" fontId="5" fillId="0" borderId="75" xfId="0" applyFont="1" applyBorder="1" applyAlignment="1" applyProtection="1">
      <alignment wrapText="1"/>
    </xf>
    <xf numFmtId="4" fontId="27" fillId="0" borderId="0" xfId="0" applyNumberFormat="1" applyFont="1" applyBorder="1" applyAlignment="1" applyProtection="1">
      <alignment horizontal="right" indent="1"/>
    </xf>
    <xf numFmtId="0" fontId="5" fillId="0" borderId="77" xfId="0" applyFont="1" applyBorder="1" applyAlignment="1" applyProtection="1">
      <alignment horizontal="left" vertical="center"/>
    </xf>
    <xf numFmtId="0" fontId="5" fillId="0" borderId="78" xfId="0" applyFont="1" applyBorder="1" applyAlignment="1" applyProtection="1">
      <alignment wrapText="1"/>
    </xf>
    <xf numFmtId="0" fontId="5" fillId="0" borderId="77" xfId="0" applyFont="1" applyBorder="1" applyAlignment="1" applyProtection="1">
      <alignment horizontal="center" vertical="center"/>
    </xf>
    <xf numFmtId="0" fontId="5" fillId="0" borderId="78" xfId="0" applyFont="1" applyBorder="1" applyAlignment="1" applyProtection="1">
      <alignment horizontal="left" wrapText="1" indent="1"/>
    </xf>
    <xf numFmtId="0" fontId="6" fillId="0" borderId="77" xfId="0" applyFont="1" applyBorder="1" applyAlignment="1" applyProtection="1">
      <alignment horizontal="right" vertical="center"/>
    </xf>
    <xf numFmtId="0" fontId="6" fillId="0" borderId="78" xfId="0" applyFont="1" applyBorder="1" applyAlignment="1" applyProtection="1">
      <alignment horizontal="left" wrapText="1" indent="2"/>
    </xf>
    <xf numFmtId="4" fontId="22" fillId="0" borderId="0" xfId="0" applyNumberFormat="1" applyFont="1" applyBorder="1" applyAlignment="1" applyProtection="1">
      <alignment horizontal="right" indent="1"/>
    </xf>
    <xf numFmtId="0" fontId="6" fillId="0" borderId="77" xfId="0" applyFont="1" applyBorder="1" applyAlignment="1" applyProtection="1">
      <alignment horizontal="right" vertical="center" wrapText="1"/>
    </xf>
    <xf numFmtId="0" fontId="6" fillId="0" borderId="78" xfId="0" applyFont="1" applyBorder="1" applyAlignment="1" applyProtection="1">
      <alignment horizontal="left" vertical="center" wrapText="1" indent="2"/>
    </xf>
    <xf numFmtId="0" fontId="6" fillId="2" borderId="78" xfId="0" applyFont="1" applyFill="1" applyBorder="1" applyAlignment="1" applyProtection="1">
      <alignment horizontal="left" wrapText="1" indent="2"/>
    </xf>
    <xf numFmtId="0" fontId="5" fillId="0" borderId="77" xfId="0" applyFont="1" applyBorder="1" applyAlignment="1" applyProtection="1">
      <alignment horizontal="right" vertical="center"/>
    </xf>
    <xf numFmtId="0" fontId="6" fillId="0" borderId="78" xfId="0" applyFont="1" applyBorder="1" applyAlignment="1" applyProtection="1">
      <alignment horizontal="left" wrapText="1" indent="1"/>
    </xf>
    <xf numFmtId="0" fontId="5" fillId="0" borderId="78" xfId="0" applyFont="1" applyBorder="1" applyAlignment="1" applyProtection="1">
      <alignment horizontal="justify" vertical="top" wrapText="1"/>
    </xf>
    <xf numFmtId="0" fontId="6" fillId="0" borderId="81" xfId="0" applyFont="1" applyBorder="1" applyAlignment="1" applyProtection="1">
      <alignment horizontal="left" wrapText="1" indent="2"/>
    </xf>
    <xf numFmtId="0" fontId="6" fillId="0" borderId="83" xfId="0" applyFont="1" applyBorder="1" applyAlignment="1" applyProtection="1">
      <alignment horizontal="right" vertical="center"/>
    </xf>
    <xf numFmtId="0" fontId="6" fillId="0" borderId="84" xfId="0" applyFont="1" applyBorder="1" applyAlignment="1" applyProtection="1">
      <alignment horizontal="left" wrapText="1" indent="2"/>
    </xf>
    <xf numFmtId="0" fontId="6" fillId="0" borderId="86" xfId="0" applyFont="1" applyBorder="1" applyAlignment="1" applyProtection="1">
      <alignment horizontal="right" vertical="center"/>
    </xf>
    <xf numFmtId="0" fontId="6" fillId="0" borderId="87" xfId="0" applyFont="1" applyBorder="1" applyAlignment="1" applyProtection="1">
      <alignment horizontal="left" vertical="top" wrapText="1" indent="1"/>
    </xf>
    <xf numFmtId="0" fontId="22" fillId="0" borderId="0" xfId="0" applyFont="1" applyBorder="1" applyAlignment="1" applyProtection="1">
      <alignment horizontal="right" vertical="center"/>
    </xf>
    <xf numFmtId="0" fontId="22" fillId="0" borderId="0" xfId="0" applyFont="1" applyBorder="1" applyAlignment="1" applyProtection="1">
      <alignment horizontal="left" vertical="top" wrapText="1" indent="1"/>
    </xf>
    <xf numFmtId="0" fontId="6" fillId="0" borderId="80" xfId="0" applyFont="1" applyBorder="1" applyAlignment="1" applyProtection="1">
      <alignment wrapText="1"/>
    </xf>
    <xf numFmtId="0" fontId="28" fillId="0" borderId="0" xfId="22" applyFont="1" applyFill="1" applyAlignment="1">
      <alignment vertical="center"/>
    </xf>
    <xf numFmtId="0" fontId="64" fillId="0" borderId="0" xfId="22" applyFont="1" applyFill="1" applyAlignment="1">
      <alignment vertical="center"/>
    </xf>
    <xf numFmtId="0" fontId="28" fillId="0" borderId="0" xfId="22" applyFont="1" applyFill="1" applyBorder="1" applyAlignment="1">
      <alignment vertical="center"/>
    </xf>
    <xf numFmtId="166" fontId="28" fillId="0" borderId="0" xfId="0" applyNumberFormat="1" applyFont="1" applyFill="1" applyBorder="1" applyAlignment="1" applyProtection="1">
      <alignment vertical="center"/>
      <protection hidden="1"/>
    </xf>
    <xf numFmtId="0" fontId="28" fillId="0" borderId="0" xfId="22" applyFont="1" applyAlignment="1">
      <alignment vertical="center"/>
    </xf>
    <xf numFmtId="0" fontId="64" fillId="0" borderId="0" xfId="22" applyFont="1" applyFill="1" applyAlignment="1" applyProtection="1">
      <alignment vertical="center"/>
    </xf>
    <xf numFmtId="0" fontId="64" fillId="0" borderId="0" xfId="22" applyFont="1" applyFill="1" applyAlignment="1" applyProtection="1">
      <alignment vertical="center"/>
      <protection locked="0"/>
    </xf>
    <xf numFmtId="0" fontId="28" fillId="0" borderId="0" xfId="36" applyFont="1" applyFill="1" applyBorder="1" applyAlignment="1">
      <alignment vertical="center"/>
    </xf>
    <xf numFmtId="2" fontId="30" fillId="2" borderId="97" xfId="22" applyNumberFormat="1" applyFont="1" applyFill="1" applyBorder="1" applyAlignment="1">
      <alignment vertical="center"/>
    </xf>
    <xf numFmtId="2" fontId="28" fillId="2" borderId="97" xfId="22" applyNumberFormat="1" applyFont="1" applyFill="1" applyBorder="1" applyAlignment="1">
      <alignment vertical="center"/>
    </xf>
    <xf numFmtId="178" fontId="62" fillId="0" borderId="0" xfId="36" applyNumberFormat="1" applyFont="1" applyFill="1" applyBorder="1" applyAlignment="1">
      <alignment horizontal="left" vertical="center"/>
    </xf>
    <xf numFmtId="178" fontId="62" fillId="0" borderId="0" xfId="36" applyNumberFormat="1" applyFont="1" applyFill="1" applyBorder="1" applyAlignment="1">
      <alignment vertical="center"/>
    </xf>
    <xf numFmtId="0" fontId="30" fillId="0" borderId="0" xfId="22" applyFont="1" applyFill="1" applyAlignment="1">
      <alignment vertical="center"/>
    </xf>
    <xf numFmtId="0" fontId="30" fillId="0" borderId="0" xfId="22" applyFont="1" applyFill="1" applyBorder="1" applyAlignment="1">
      <alignment vertical="center"/>
    </xf>
    <xf numFmtId="0" fontId="68" fillId="0" borderId="0" xfId="22" applyFont="1" applyFill="1" applyAlignment="1">
      <alignment vertical="center"/>
    </xf>
    <xf numFmtId="2" fontId="30" fillId="2" borderId="97" xfId="22" applyNumberFormat="1" applyFont="1" applyFill="1" applyBorder="1" applyAlignment="1">
      <alignment vertical="center" wrapText="1"/>
    </xf>
    <xf numFmtId="0" fontId="30" fillId="0" borderId="0" xfId="22" applyFont="1" applyAlignment="1">
      <alignment vertical="center"/>
    </xf>
    <xf numFmtId="0" fontId="64" fillId="0" borderId="0" xfId="22" applyFont="1" applyFill="1" applyAlignment="1">
      <alignment horizontal="left" vertical="center"/>
    </xf>
    <xf numFmtId="0" fontId="64" fillId="0" borderId="0" xfId="22" applyFont="1" applyFill="1" applyAlignment="1">
      <alignment horizontal="center" vertical="center"/>
    </xf>
    <xf numFmtId="49" fontId="28" fillId="0" borderId="0" xfId="22" applyNumberFormat="1" applyFont="1" applyFill="1" applyAlignment="1">
      <alignment vertical="center" wrapText="1"/>
    </xf>
    <xf numFmtId="2" fontId="28" fillId="0" borderId="0" xfId="22" applyNumberFormat="1" applyFont="1" applyFill="1" applyAlignment="1">
      <alignment vertical="center"/>
    </xf>
    <xf numFmtId="49" fontId="28" fillId="0" borderId="0" xfId="22" applyNumberFormat="1" applyFont="1" applyAlignment="1">
      <alignment vertical="center" wrapText="1"/>
    </xf>
    <xf numFmtId="39" fontId="5" fillId="0" borderId="79" xfId="83" applyNumberFormat="1" applyFont="1" applyBorder="1" applyAlignment="1" applyProtection="1">
      <alignment vertical="center"/>
    </xf>
    <xf numFmtId="39" fontId="5" fillId="0" borderId="76" xfId="83" applyNumberFormat="1" applyFont="1" applyBorder="1" applyAlignment="1" applyProtection="1">
      <alignment vertical="center"/>
    </xf>
    <xf numFmtId="2" fontId="30" fillId="8" borderId="95" xfId="22" applyNumberFormat="1" applyFont="1" applyFill="1" applyBorder="1" applyAlignment="1">
      <alignment vertical="center"/>
    </xf>
    <xf numFmtId="0" fontId="30" fillId="8" borderId="93" xfId="22" applyFont="1" applyFill="1" applyBorder="1" applyAlignment="1">
      <alignment horizontal="center" vertical="center" wrapText="1"/>
    </xf>
    <xf numFmtId="0" fontId="30" fillId="8" borderId="94" xfId="22" applyFont="1" applyFill="1" applyBorder="1" applyAlignment="1">
      <alignment horizontal="center" vertical="center" wrapText="1"/>
    </xf>
    <xf numFmtId="2" fontId="30" fillId="8" borderId="101" xfId="22" applyNumberFormat="1" applyFont="1" applyFill="1" applyBorder="1" applyAlignment="1">
      <alignment vertical="center"/>
    </xf>
    <xf numFmtId="2" fontId="30" fillId="8" borderId="104" xfId="22" applyNumberFormat="1" applyFont="1" applyFill="1" applyBorder="1" applyAlignment="1">
      <alignment vertical="center"/>
    </xf>
    <xf numFmtId="0" fontId="65" fillId="13" borderId="71" xfId="22" applyFont="1" applyFill="1" applyBorder="1" applyAlignment="1">
      <alignment vertical="center"/>
    </xf>
    <xf numFmtId="2" fontId="28" fillId="2" borderId="92" xfId="22" applyNumberFormat="1" applyFont="1" applyFill="1" applyBorder="1" applyAlignment="1">
      <alignment vertical="center"/>
    </xf>
    <xf numFmtId="2" fontId="30" fillId="2" borderId="107" xfId="22" applyNumberFormat="1" applyFont="1" applyFill="1" applyBorder="1" applyAlignment="1">
      <alignment vertical="center"/>
    </xf>
    <xf numFmtId="2" fontId="30" fillId="8" borderId="112" xfId="22" applyNumberFormat="1" applyFont="1" applyFill="1" applyBorder="1" applyAlignment="1">
      <alignment vertical="center"/>
    </xf>
    <xf numFmtId="2" fontId="72" fillId="13" borderId="95" xfId="22" applyNumberFormat="1" applyFont="1" applyFill="1" applyBorder="1" applyAlignment="1">
      <alignment vertical="center"/>
    </xf>
    <xf numFmtId="2" fontId="72" fillId="13" borderId="117" xfId="22" applyNumberFormat="1" applyFont="1" applyFill="1" applyBorder="1" applyAlignment="1">
      <alignment vertical="center"/>
    </xf>
    <xf numFmtId="178" fontId="30" fillId="8" borderId="96" xfId="38" applyNumberFormat="1" applyFont="1" applyFill="1" applyBorder="1" applyAlignment="1">
      <alignment horizontal="right" vertical="center" indent="1"/>
    </xf>
    <xf numFmtId="178" fontId="30" fillId="2" borderId="99" xfId="38" applyNumberFormat="1" applyFont="1" applyFill="1" applyBorder="1" applyAlignment="1">
      <alignment horizontal="right" vertical="center" indent="1"/>
    </xf>
    <xf numFmtId="178" fontId="28" fillId="2" borderId="99" xfId="38" applyNumberFormat="1" applyFont="1" applyFill="1" applyBorder="1" applyAlignment="1">
      <alignment horizontal="right" vertical="center" indent="1"/>
    </xf>
    <xf numFmtId="178" fontId="30" fillId="8" borderId="103" xfId="38" applyNumberFormat="1" applyFont="1" applyFill="1" applyBorder="1" applyAlignment="1">
      <alignment horizontal="right" vertical="center" indent="1"/>
    </xf>
    <xf numFmtId="178" fontId="30" fillId="8" borderId="106" xfId="38" applyNumberFormat="1" applyFont="1" applyFill="1" applyBorder="1" applyAlignment="1">
      <alignment horizontal="right" vertical="center" indent="1"/>
    </xf>
    <xf numFmtId="178" fontId="30" fillId="2" borderId="108" xfId="38" applyNumberFormat="1" applyFont="1" applyFill="1" applyBorder="1" applyAlignment="1">
      <alignment horizontal="right" vertical="center" indent="1"/>
    </xf>
    <xf numFmtId="178" fontId="72" fillId="13" borderId="96" xfId="38" applyNumberFormat="1" applyFont="1" applyFill="1" applyBorder="1" applyAlignment="1">
      <alignment horizontal="right" vertical="center" indent="1"/>
    </xf>
    <xf numFmtId="178" fontId="72" fillId="13" borderId="118" xfId="38" applyNumberFormat="1" applyFont="1" applyFill="1" applyBorder="1" applyAlignment="1">
      <alignment horizontal="right" vertical="center" indent="1"/>
    </xf>
    <xf numFmtId="178" fontId="30" fillId="8" borderId="113" xfId="38" applyNumberFormat="1" applyFont="1" applyFill="1" applyBorder="1" applyAlignment="1">
      <alignment horizontal="right" vertical="center" indent="1"/>
    </xf>
    <xf numFmtId="178" fontId="28" fillId="2" borderId="111" xfId="38" applyNumberFormat="1" applyFont="1" applyFill="1" applyBorder="1" applyAlignment="1">
      <alignment horizontal="right" vertical="center" indent="1"/>
    </xf>
    <xf numFmtId="4" fontId="30" fillId="8" borderId="90" xfId="22" applyNumberFormat="1" applyFont="1" applyFill="1" applyBorder="1" applyAlignment="1">
      <alignment horizontal="right" vertical="center" indent="1"/>
    </xf>
    <xf numFmtId="4" fontId="30" fillId="2" borderId="98" xfId="22" applyNumberFormat="1" applyFont="1" applyFill="1" applyBorder="1" applyAlignment="1">
      <alignment horizontal="right" vertical="center" indent="1"/>
    </xf>
    <xf numFmtId="4" fontId="28" fillId="2" borderId="100" xfId="36" applyNumberFormat="1" applyFont="1" applyFill="1" applyBorder="1" applyAlignment="1">
      <alignment horizontal="right" vertical="center" indent="1"/>
    </xf>
    <xf numFmtId="4" fontId="30" fillId="2" borderId="100" xfId="22" applyNumberFormat="1" applyFont="1" applyFill="1" applyBorder="1" applyAlignment="1">
      <alignment horizontal="right" vertical="center" indent="1"/>
    </xf>
    <xf numFmtId="4" fontId="30" fillId="8" borderId="102" xfId="22" applyNumberFormat="1" applyFont="1" applyFill="1" applyBorder="1" applyAlignment="1">
      <alignment horizontal="right" vertical="center" indent="1"/>
    </xf>
    <xf numFmtId="4" fontId="30" fillId="8" borderId="105" xfId="22" applyNumberFormat="1" applyFont="1" applyFill="1" applyBorder="1" applyAlignment="1">
      <alignment horizontal="right" vertical="center" indent="1"/>
    </xf>
    <xf numFmtId="4" fontId="28" fillId="2" borderId="100" xfId="22" applyNumberFormat="1" applyFont="1" applyFill="1" applyBorder="1" applyAlignment="1">
      <alignment horizontal="right" vertical="center" indent="1"/>
    </xf>
    <xf numFmtId="4" fontId="72" fillId="13" borderId="90" xfId="22" applyNumberFormat="1" applyFont="1" applyFill="1" applyBorder="1" applyAlignment="1">
      <alignment horizontal="right" vertical="center" indent="1"/>
    </xf>
    <xf numFmtId="4" fontId="72" fillId="13" borderId="93" xfId="22" applyNumberFormat="1" applyFont="1" applyFill="1" applyBorder="1" applyAlignment="1">
      <alignment horizontal="right" vertical="center" indent="1"/>
    </xf>
    <xf numFmtId="4" fontId="30" fillId="8" borderId="109" xfId="22" applyNumberFormat="1" applyFont="1" applyFill="1" applyBorder="1" applyAlignment="1">
      <alignment horizontal="right" vertical="center" indent="1"/>
    </xf>
    <xf numFmtId="4" fontId="28" fillId="2" borderId="98" xfId="22" applyNumberFormat="1" applyFont="1" applyFill="1" applyBorder="1" applyAlignment="1">
      <alignment horizontal="right" vertical="center" indent="1"/>
    </xf>
    <xf numFmtId="4" fontId="28" fillId="2" borderId="109" xfId="22" applyNumberFormat="1" applyFont="1" applyFill="1" applyBorder="1" applyAlignment="1">
      <alignment horizontal="right" vertical="center" indent="1"/>
    </xf>
    <xf numFmtId="4" fontId="30" fillId="2" borderId="100" xfId="36" applyNumberFormat="1" applyFont="1" applyFill="1" applyBorder="1" applyAlignment="1">
      <alignment horizontal="right" vertical="center" indent="1"/>
    </xf>
    <xf numFmtId="4" fontId="28" fillId="2" borderId="110" xfId="22" applyNumberFormat="1" applyFont="1" applyFill="1" applyBorder="1" applyAlignment="1">
      <alignment horizontal="right" vertical="center" indent="1"/>
    </xf>
    <xf numFmtId="2" fontId="28" fillId="10" borderId="97" xfId="22" applyNumberFormat="1" applyFont="1" applyFill="1" applyBorder="1" applyAlignment="1">
      <alignment vertical="center"/>
    </xf>
    <xf numFmtId="4" fontId="28" fillId="10" borderId="100" xfId="36" applyNumberFormat="1" applyFont="1" applyFill="1" applyBorder="1" applyAlignment="1">
      <alignment horizontal="right" vertical="center" indent="1"/>
    </xf>
    <xf numFmtId="178" fontId="28" fillId="10" borderId="99" xfId="38" applyNumberFormat="1" applyFont="1" applyFill="1" applyBorder="1" applyAlignment="1">
      <alignment horizontal="right" vertical="center" indent="1"/>
    </xf>
    <xf numFmtId="2" fontId="72" fillId="13" borderId="104" xfId="22" applyNumberFormat="1" applyFont="1" applyFill="1" applyBorder="1" applyAlignment="1">
      <alignment vertical="center"/>
    </xf>
    <xf numFmtId="4" fontId="72" fillId="13" borderId="105" xfId="22" applyNumberFormat="1" applyFont="1" applyFill="1" applyBorder="1" applyAlignment="1">
      <alignment horizontal="right" vertical="center" indent="1"/>
    </xf>
    <xf numFmtId="178" fontId="72" fillId="13" borderId="106" xfId="38" applyNumberFormat="1" applyFont="1" applyFill="1" applyBorder="1" applyAlignment="1">
      <alignment horizontal="right" vertical="center" indent="1"/>
    </xf>
    <xf numFmtId="2" fontId="30" fillId="10" borderId="97" xfId="22" applyNumberFormat="1" applyFont="1" applyFill="1" applyBorder="1" applyAlignment="1">
      <alignment vertical="center"/>
    </xf>
    <xf numFmtId="4" fontId="30" fillId="10" borderId="100" xfId="22" applyNumberFormat="1" applyFont="1" applyFill="1" applyBorder="1" applyAlignment="1">
      <alignment horizontal="right" vertical="center" indent="1"/>
    </xf>
    <xf numFmtId="178" fontId="30" fillId="10" borderId="99" xfId="38" applyNumberFormat="1" applyFont="1" applyFill="1" applyBorder="1" applyAlignment="1">
      <alignment horizontal="right" vertical="center" indent="1"/>
    </xf>
    <xf numFmtId="0" fontId="68" fillId="0" borderId="0" xfId="22" applyFont="1" applyFill="1" applyAlignment="1">
      <alignment horizontal="center" vertical="center"/>
    </xf>
    <xf numFmtId="4" fontId="30" fillId="10" borderId="100" xfId="36" applyNumberFormat="1" applyFont="1" applyFill="1" applyBorder="1" applyAlignment="1">
      <alignment horizontal="right" vertical="center" indent="1"/>
    </xf>
    <xf numFmtId="2" fontId="72" fillId="13" borderId="114" xfId="22" applyNumberFormat="1" applyFont="1" applyFill="1" applyBorder="1" applyAlignment="1">
      <alignment vertical="center"/>
    </xf>
    <xf numFmtId="4" fontId="72" fillId="13" borderId="115" xfId="22" applyNumberFormat="1" applyFont="1" applyFill="1" applyBorder="1" applyAlignment="1">
      <alignment horizontal="right" vertical="center" indent="1"/>
    </xf>
    <xf numFmtId="178" fontId="72" fillId="13" borderId="116" xfId="38" applyNumberFormat="1" applyFont="1" applyFill="1" applyBorder="1" applyAlignment="1">
      <alignment horizontal="right" vertical="center" indent="1"/>
    </xf>
    <xf numFmtId="0" fontId="64" fillId="0" borderId="0" xfId="22" applyFont="1" applyFill="1" applyAlignment="1">
      <alignment horizontal="right" vertical="center"/>
    </xf>
    <xf numFmtId="0" fontId="68" fillId="0" borderId="0" xfId="22" applyFont="1" applyFill="1" applyAlignment="1">
      <alignment horizontal="right" vertical="center"/>
    </xf>
    <xf numFmtId="0" fontId="64" fillId="0" borderId="0" xfId="22" applyFont="1" applyFill="1" applyAlignment="1">
      <alignment horizontal="right" vertical="center" indent="1"/>
    </xf>
    <xf numFmtId="2" fontId="28" fillId="0" borderId="71" xfId="22" applyNumberFormat="1" applyFont="1" applyFill="1" applyBorder="1" applyAlignment="1">
      <alignment horizontal="center" vertical="center"/>
    </xf>
    <xf numFmtId="4" fontId="22" fillId="0" borderId="0" xfId="0" applyNumberFormat="1" applyFont="1" applyBorder="1" applyAlignment="1" applyProtection="1">
      <alignment horizontal="left" indent="1"/>
    </xf>
    <xf numFmtId="0" fontId="3" fillId="0" borderId="0" xfId="37" applyAlignment="1" applyProtection="1">
      <alignment vertical="center"/>
    </xf>
    <xf numFmtId="0" fontId="3" fillId="0" borderId="0" xfId="37" applyAlignment="1" applyProtection="1">
      <alignment horizontal="left" vertical="center" indent="1"/>
    </xf>
    <xf numFmtId="0" fontId="22" fillId="0" borderId="5" xfId="37" applyFont="1" applyBorder="1" applyAlignment="1" applyProtection="1">
      <alignment horizontal="center" vertical="center" wrapText="1"/>
    </xf>
    <xf numFmtId="0" fontId="6" fillId="0" borderId="36" xfId="37" applyFont="1" applyBorder="1" applyAlignment="1" applyProtection="1">
      <alignment horizontal="left" vertical="center" wrapText="1" indent="1"/>
    </xf>
    <xf numFmtId="0" fontId="6" fillId="0" borderId="10" xfId="37" applyFont="1" applyBorder="1" applyAlignment="1" applyProtection="1">
      <alignment horizontal="center" vertical="center" wrapText="1"/>
    </xf>
    <xf numFmtId="0" fontId="5" fillId="0" borderId="5" xfId="37" applyFont="1" applyBorder="1" applyAlignment="1" applyProtection="1">
      <alignment horizontal="left" vertical="center"/>
    </xf>
    <xf numFmtId="0" fontId="5" fillId="0" borderId="36" xfId="37" applyFont="1" applyBorder="1" applyAlignment="1" applyProtection="1">
      <alignment horizontal="left" vertical="center" wrapText="1" indent="1"/>
    </xf>
    <xf numFmtId="4" fontId="5" fillId="0" borderId="10" xfId="37" applyNumberFormat="1" applyFont="1" applyBorder="1" applyAlignment="1" applyProtection="1">
      <alignment vertical="center"/>
    </xf>
    <xf numFmtId="0" fontId="5" fillId="46" borderId="62" xfId="37" applyFont="1" applyFill="1" applyBorder="1" applyAlignment="1" applyProtection="1">
      <alignment horizontal="left" vertical="center"/>
    </xf>
    <xf numFmtId="0" fontId="5" fillId="46" borderId="63" xfId="37" applyFont="1" applyFill="1" applyBorder="1" applyAlignment="1" applyProtection="1">
      <alignment horizontal="left" vertical="center" wrapText="1" indent="1"/>
    </xf>
    <xf numFmtId="4" fontId="5" fillId="46" borderId="64" xfId="37" applyNumberFormat="1" applyFont="1" applyFill="1" applyBorder="1" applyAlignment="1" applyProtection="1">
      <alignment vertical="center"/>
    </xf>
    <xf numFmtId="0" fontId="5" fillId="0" borderId="65" xfId="37" applyFont="1" applyBorder="1" applyAlignment="1" applyProtection="1">
      <alignment horizontal="center" vertical="center"/>
    </xf>
    <xf numFmtId="0" fontId="5" fillId="0" borderId="66" xfId="37" applyFont="1" applyBorder="1" applyAlignment="1" applyProtection="1">
      <alignment horizontal="left" vertical="center" wrapText="1" indent="1"/>
    </xf>
    <xf numFmtId="4" fontId="5" fillId="0" borderId="67" xfId="37" applyNumberFormat="1" applyFont="1" applyBorder="1" applyAlignment="1" applyProtection="1">
      <alignment vertical="center"/>
    </xf>
    <xf numFmtId="0" fontId="6" fillId="0" borderId="65" xfId="37" applyFont="1" applyBorder="1" applyAlignment="1" applyProtection="1">
      <alignment vertical="center"/>
    </xf>
    <xf numFmtId="0" fontId="6" fillId="0" borderId="66" xfId="37" applyFont="1" applyBorder="1" applyAlignment="1" applyProtection="1">
      <alignment horizontal="left" vertical="center" wrapText="1" indent="1"/>
    </xf>
    <xf numFmtId="4" fontId="3" fillId="0" borderId="0" xfId="37" applyNumberFormat="1" applyAlignment="1" applyProtection="1">
      <alignment vertical="center"/>
    </xf>
    <xf numFmtId="4" fontId="6" fillId="0" borderId="67" xfId="37" applyNumberFormat="1" applyFont="1" applyBorder="1" applyAlignment="1" applyProtection="1">
      <alignment vertical="center"/>
    </xf>
    <xf numFmtId="0" fontId="69" fillId="0" borderId="65" xfId="37" applyFont="1" applyBorder="1" applyAlignment="1" applyProtection="1">
      <alignment vertical="center"/>
    </xf>
    <xf numFmtId="0" fontId="69" fillId="0" borderId="66" xfId="37" applyFont="1" applyBorder="1" applyAlignment="1" applyProtection="1">
      <alignment horizontal="left" vertical="center" wrapText="1" indent="1"/>
    </xf>
    <xf numFmtId="0" fontId="69" fillId="0" borderId="65" xfId="37" applyNumberFormat="1" applyFont="1" applyBorder="1" applyAlignment="1" applyProtection="1">
      <alignment vertical="center"/>
    </xf>
    <xf numFmtId="0" fontId="5" fillId="46" borderId="65" xfId="37" applyFont="1" applyFill="1" applyBorder="1" applyAlignment="1" applyProtection="1">
      <alignment horizontal="left" vertical="center"/>
    </xf>
    <xf numFmtId="0" fontId="5" fillId="46" borderId="66" xfId="37" applyFont="1" applyFill="1" applyBorder="1" applyAlignment="1" applyProtection="1">
      <alignment horizontal="left" vertical="center" wrapText="1" indent="1"/>
    </xf>
    <xf numFmtId="4" fontId="5" fillId="46" borderId="67" xfId="37" applyNumberFormat="1" applyFont="1" applyFill="1" applyBorder="1" applyAlignment="1" applyProtection="1">
      <alignment vertical="center"/>
    </xf>
    <xf numFmtId="0" fontId="6" fillId="0" borderId="65" xfId="37" applyFont="1" applyBorder="1" applyAlignment="1" applyProtection="1">
      <alignment horizontal="right" vertical="center"/>
    </xf>
    <xf numFmtId="0" fontId="6" fillId="0" borderId="68" xfId="37" applyFont="1" applyBorder="1" applyAlignment="1" applyProtection="1">
      <alignment vertical="center"/>
    </xf>
    <xf numFmtId="0" fontId="6" fillId="0" borderId="69" xfId="37" applyFont="1" applyBorder="1" applyAlignment="1" applyProtection="1">
      <alignment horizontal="left" vertical="center" wrapText="1" indent="1"/>
    </xf>
    <xf numFmtId="4" fontId="6" fillId="47" borderId="67" xfId="37" applyNumberFormat="1" applyFont="1" applyFill="1" applyBorder="1" applyAlignment="1" applyProtection="1">
      <alignment vertical="center"/>
      <protection locked="0"/>
    </xf>
    <xf numFmtId="4" fontId="69" fillId="47" borderId="67" xfId="37" applyNumberFormat="1" applyFont="1" applyFill="1" applyBorder="1" applyAlignment="1" applyProtection="1">
      <alignment vertical="center"/>
      <protection locked="0"/>
    </xf>
    <xf numFmtId="4" fontId="5" fillId="47" borderId="67" xfId="37" applyNumberFormat="1" applyFont="1" applyFill="1" applyBorder="1" applyAlignment="1" applyProtection="1">
      <alignment vertical="center"/>
      <protection locked="0"/>
    </xf>
    <xf numFmtId="4" fontId="6" fillId="47" borderId="70" xfId="37" applyNumberFormat="1" applyFont="1" applyFill="1" applyBorder="1" applyAlignment="1" applyProtection="1">
      <alignment vertical="center"/>
      <protection locked="0"/>
    </xf>
    <xf numFmtId="39" fontId="6" fillId="0" borderId="0" xfId="83" applyNumberFormat="1" applyFont="1" applyAlignment="1" applyProtection="1"/>
    <xf numFmtId="177" fontId="6" fillId="0" borderId="0" xfId="0" applyNumberFormat="1" applyFont="1" applyProtection="1"/>
    <xf numFmtId="177" fontId="5" fillId="0" borderId="0" xfId="0" applyNumberFormat="1" applyFont="1" applyProtection="1"/>
    <xf numFmtId="0" fontId="5" fillId="0" borderId="0" xfId="0" applyFont="1" applyProtection="1"/>
    <xf numFmtId="39" fontId="6" fillId="0" borderId="67" xfId="83" applyNumberFormat="1" applyFont="1" applyBorder="1" applyAlignment="1" applyProtection="1">
      <alignment vertical="center"/>
    </xf>
    <xf numFmtId="39" fontId="6" fillId="47" borderId="67" xfId="83" applyNumberFormat="1" applyFont="1" applyFill="1" applyBorder="1" applyAlignment="1" applyProtection="1">
      <alignment vertical="center"/>
      <protection locked="0"/>
    </xf>
    <xf numFmtId="39" fontId="6" fillId="47" borderId="82" xfId="83" applyNumberFormat="1" applyFont="1" applyFill="1" applyBorder="1" applyAlignment="1" applyProtection="1">
      <alignment vertical="center"/>
      <protection locked="0"/>
    </xf>
    <xf numFmtId="39" fontId="6" fillId="47" borderId="85" xfId="83" applyNumberFormat="1" applyFont="1" applyFill="1" applyBorder="1" applyAlignment="1" applyProtection="1">
      <protection locked="0"/>
    </xf>
    <xf numFmtId="39" fontId="6" fillId="47" borderId="88" xfId="83" applyNumberFormat="1" applyFont="1" applyFill="1" applyBorder="1" applyAlignment="1" applyProtection="1">
      <protection locked="0"/>
    </xf>
    <xf numFmtId="4" fontId="30" fillId="0" borderId="98" xfId="22" applyNumberFormat="1" applyFont="1" applyFill="1" applyBorder="1" applyAlignment="1" applyProtection="1">
      <alignment horizontal="right" vertical="center" indent="1"/>
      <protection locked="0"/>
    </xf>
    <xf numFmtId="166" fontId="28" fillId="5" borderId="6" xfId="0" applyNumberFormat="1" applyFont="1" applyFill="1" applyBorder="1" applyAlignment="1">
      <alignment horizontal="center" vertical="center"/>
    </xf>
    <xf numFmtId="166" fontId="28" fillId="5" borderId="23" xfId="0" applyNumberFormat="1" applyFont="1" applyFill="1" applyBorder="1" applyAlignment="1">
      <alignment horizontal="center" vertical="center"/>
    </xf>
    <xf numFmtId="166" fontId="28" fillId="5" borderId="6" xfId="0" applyNumberFormat="1" applyFont="1" applyFill="1" applyBorder="1" applyAlignment="1" applyProtection="1">
      <alignment horizontal="center" vertical="center"/>
      <protection hidden="1"/>
    </xf>
    <xf numFmtId="166" fontId="28" fillId="5" borderId="23" xfId="0" applyNumberFormat="1" applyFont="1" applyFill="1" applyBorder="1" applyAlignment="1" applyProtection="1">
      <alignment horizontal="center" vertical="center"/>
      <protection hidden="1"/>
    </xf>
    <xf numFmtId="166" fontId="28" fillId="5" borderId="10" xfId="0" applyNumberFormat="1" applyFont="1" applyFill="1" applyBorder="1" applyAlignment="1" applyProtection="1">
      <alignment horizontal="center" vertical="center"/>
      <protection hidden="1"/>
    </xf>
    <xf numFmtId="0" fontId="28" fillId="2" borderId="20" xfId="22" applyFont="1" applyFill="1" applyBorder="1" applyAlignment="1">
      <alignment horizontal="center" vertical="center" wrapText="1"/>
    </xf>
    <xf numFmtId="0" fontId="28" fillId="2" borderId="21" xfId="22" applyFont="1" applyFill="1" applyBorder="1" applyAlignment="1">
      <alignment horizontal="center" vertical="center" wrapText="1"/>
    </xf>
    <xf numFmtId="165" fontId="28" fillId="2" borderId="20" xfId="36" applyNumberFormat="1" applyFont="1" applyFill="1" applyBorder="1" applyAlignment="1">
      <alignment horizontal="center" vertical="center" wrapText="1"/>
    </xf>
    <xf numFmtId="165" fontId="28" fillId="2" borderId="21" xfId="36" applyNumberFormat="1" applyFont="1" applyFill="1" applyBorder="1" applyAlignment="1">
      <alignment horizontal="center" vertical="center" wrapText="1"/>
    </xf>
    <xf numFmtId="166" fontId="28" fillId="5" borderId="10" xfId="0" applyNumberFormat="1" applyFont="1" applyFill="1" applyBorder="1" applyAlignment="1">
      <alignment horizontal="center" vertical="center"/>
    </xf>
    <xf numFmtId="0" fontId="31" fillId="2" borderId="21" xfId="22" applyFont="1" applyFill="1" applyBorder="1" applyAlignment="1">
      <alignment horizontal="center"/>
    </xf>
    <xf numFmtId="0" fontId="42" fillId="15" borderId="19" xfId="22" applyFont="1" applyFill="1" applyBorder="1" applyAlignment="1">
      <alignment horizontal="center" vertical="center"/>
    </xf>
    <xf numFmtId="0" fontId="42" fillId="15" borderId="17" xfId="22" applyFont="1" applyFill="1" applyBorder="1" applyAlignment="1">
      <alignment horizontal="center" vertical="center"/>
    </xf>
    <xf numFmtId="0" fontId="30" fillId="5" borderId="25" xfId="22" applyFont="1" applyFill="1" applyBorder="1" applyAlignment="1">
      <alignment horizontal="center" vertical="center"/>
    </xf>
    <xf numFmtId="0" fontId="30" fillId="5" borderId="26" xfId="22" applyFont="1" applyFill="1" applyBorder="1" applyAlignment="1">
      <alignment horizontal="center" vertical="center"/>
    </xf>
    <xf numFmtId="0" fontId="30" fillId="5" borderId="25" xfId="36" applyFont="1" applyFill="1" applyBorder="1" applyAlignment="1">
      <alignment horizontal="center" vertical="center"/>
    </xf>
    <xf numFmtId="0" fontId="30" fillId="5" borderId="26" xfId="36" applyFont="1" applyFill="1" applyBorder="1" applyAlignment="1">
      <alignment horizontal="center" vertical="center"/>
    </xf>
    <xf numFmtId="0" fontId="30" fillId="5" borderId="20" xfId="36" applyFont="1" applyFill="1" applyBorder="1" applyAlignment="1">
      <alignment horizontal="center" vertical="center"/>
    </xf>
    <xf numFmtId="0" fontId="30" fillId="5" borderId="21" xfId="36" applyFont="1" applyFill="1" applyBorder="1" applyAlignment="1">
      <alignment horizontal="center" vertical="center"/>
    </xf>
    <xf numFmtId="0" fontId="30" fillId="5" borderId="15" xfId="36" applyFont="1" applyFill="1" applyBorder="1" applyAlignment="1">
      <alignment horizontal="center" vertical="center" wrapText="1"/>
    </xf>
    <xf numFmtId="0" fontId="30" fillId="5" borderId="16" xfId="36" applyFont="1" applyFill="1" applyBorder="1" applyAlignment="1">
      <alignment horizontal="center" vertical="center" wrapText="1"/>
    </xf>
    <xf numFmtId="0" fontId="30" fillId="5" borderId="50" xfId="36" applyFont="1" applyFill="1" applyBorder="1" applyAlignment="1">
      <alignment horizontal="center" vertical="center"/>
    </xf>
    <xf numFmtId="0" fontId="30" fillId="5" borderId="51" xfId="36" applyFont="1" applyFill="1" applyBorder="1" applyAlignment="1">
      <alignment horizontal="center" vertical="center"/>
    </xf>
    <xf numFmtId="0" fontId="30" fillId="5" borderId="15" xfId="36" applyFont="1" applyFill="1" applyBorder="1" applyAlignment="1">
      <alignment horizontal="center" vertical="center"/>
    </xf>
    <xf numFmtId="0" fontId="30" fillId="5" borderId="16" xfId="36" applyFont="1" applyFill="1" applyBorder="1" applyAlignment="1">
      <alignment horizontal="center" vertical="center"/>
    </xf>
    <xf numFmtId="166" fontId="28" fillId="6" borderId="6" xfId="0" applyNumberFormat="1" applyFont="1" applyFill="1" applyBorder="1" applyAlignment="1">
      <alignment horizontal="center" vertical="center"/>
    </xf>
    <xf numFmtId="166" fontId="28" fillId="6" borderId="23" xfId="0" applyNumberFormat="1" applyFont="1" applyFill="1" applyBorder="1" applyAlignment="1">
      <alignment horizontal="center" vertical="center"/>
    </xf>
    <xf numFmtId="166" fontId="28" fillId="6" borderId="6" xfId="0" applyNumberFormat="1" applyFont="1" applyFill="1" applyBorder="1" applyAlignment="1" applyProtection="1">
      <alignment horizontal="center" vertical="center"/>
      <protection hidden="1"/>
    </xf>
    <xf numFmtId="166" fontId="28" fillId="6" borderId="23" xfId="0" applyNumberFormat="1" applyFont="1" applyFill="1" applyBorder="1" applyAlignment="1" applyProtection="1">
      <alignment horizontal="center" vertical="center"/>
      <protection hidden="1"/>
    </xf>
    <xf numFmtId="166" fontId="28" fillId="6" borderId="10" xfId="0" applyNumberFormat="1" applyFont="1" applyFill="1" applyBorder="1" applyAlignment="1" applyProtection="1">
      <alignment horizontal="center" vertical="center"/>
      <protection hidden="1"/>
    </xf>
    <xf numFmtId="166" fontId="28" fillId="6" borderId="10" xfId="0" applyNumberFormat="1" applyFont="1" applyFill="1" applyBorder="1" applyAlignment="1">
      <alignment horizontal="center" vertical="center"/>
    </xf>
    <xf numFmtId="0" fontId="42" fillId="7" borderId="19" xfId="22" applyFont="1" applyFill="1" applyBorder="1" applyAlignment="1">
      <alignment horizontal="center" vertical="center"/>
    </xf>
    <xf numFmtId="0" fontId="42" fillId="7" borderId="17" xfId="22" applyFont="1" applyFill="1" applyBorder="1" applyAlignment="1">
      <alignment horizontal="center" vertical="center"/>
    </xf>
    <xf numFmtId="0" fontId="30" fillId="6" borderId="25" xfId="22" applyFont="1" applyFill="1" applyBorder="1" applyAlignment="1">
      <alignment horizontal="center" vertical="center"/>
    </xf>
    <xf numFmtId="0" fontId="30" fillId="6" borderId="26" xfId="22" applyFont="1" applyFill="1" applyBorder="1" applyAlignment="1">
      <alignment horizontal="center" vertical="center"/>
    </xf>
    <xf numFmtId="0" fontId="30" fillId="6" borderId="25" xfId="36" applyFont="1" applyFill="1" applyBorder="1" applyAlignment="1">
      <alignment horizontal="center" vertical="center"/>
    </xf>
    <xf numFmtId="0" fontId="30" fillId="6" borderId="26" xfId="36" applyFont="1" applyFill="1" applyBorder="1" applyAlignment="1">
      <alignment horizontal="center" vertical="center"/>
    </xf>
    <xf numFmtId="0" fontId="30" fillId="6" borderId="20" xfId="36" applyFont="1" applyFill="1" applyBorder="1" applyAlignment="1">
      <alignment horizontal="center" vertical="center"/>
    </xf>
    <xf numFmtId="0" fontId="30" fillId="6" borderId="21" xfId="36" applyFont="1" applyFill="1" applyBorder="1" applyAlignment="1">
      <alignment horizontal="center" vertical="center"/>
    </xf>
    <xf numFmtId="0" fontId="30" fillId="6" borderId="15" xfId="36" applyFont="1" applyFill="1" applyBorder="1" applyAlignment="1">
      <alignment horizontal="center" vertical="center" wrapText="1"/>
    </xf>
    <xf numFmtId="0" fontId="30" fillId="6" borderId="16" xfId="36" applyFont="1" applyFill="1" applyBorder="1" applyAlignment="1">
      <alignment horizontal="center" vertical="center" wrapText="1"/>
    </xf>
    <xf numFmtId="0" fontId="30" fillId="6" borderId="50" xfId="36" applyFont="1" applyFill="1" applyBorder="1" applyAlignment="1">
      <alignment horizontal="center" vertical="center"/>
    </xf>
    <xf numFmtId="0" fontId="30" fillId="6" borderId="51" xfId="36" applyFont="1" applyFill="1" applyBorder="1" applyAlignment="1">
      <alignment horizontal="center" vertical="center"/>
    </xf>
    <xf numFmtId="0" fontId="30" fillId="6" borderId="15" xfId="36" applyFont="1" applyFill="1" applyBorder="1" applyAlignment="1">
      <alignment horizontal="center" vertical="center"/>
    </xf>
    <xf numFmtId="0" fontId="30" fillId="6" borderId="16" xfId="36" applyFont="1" applyFill="1" applyBorder="1" applyAlignment="1">
      <alignment horizontal="center" vertical="center"/>
    </xf>
    <xf numFmtId="0" fontId="18" fillId="4" borderId="0" xfId="0" applyFont="1" applyFill="1" applyAlignment="1">
      <alignment horizontal="center" vertical="center"/>
    </xf>
    <xf numFmtId="0" fontId="17" fillId="0" borderId="0" xfId="0" applyFont="1" applyFill="1" applyBorder="1" applyAlignment="1">
      <alignment horizontal="center" vertical="center" textRotation="45"/>
    </xf>
    <xf numFmtId="0" fontId="17" fillId="0" borderId="0" xfId="0" applyFont="1" applyFill="1" applyAlignment="1">
      <alignment horizontal="center" vertical="center" textRotation="45"/>
    </xf>
    <xf numFmtId="0" fontId="17" fillId="0" borderId="0"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Fill="1" applyAlignment="1">
      <alignment horizontal="center" vertical="center"/>
    </xf>
    <xf numFmtId="16" fontId="17" fillId="0" borderId="0" xfId="0" applyNumberFormat="1" applyFont="1" applyFill="1" applyAlignment="1">
      <alignment horizontal="center" vertical="center"/>
    </xf>
    <xf numFmtId="0" fontId="17" fillId="4" borderId="0" xfId="0" applyFont="1" applyFill="1" applyAlignment="1">
      <alignment horizontal="center" vertical="center"/>
    </xf>
    <xf numFmtId="166" fontId="28" fillId="5" borderId="22" xfId="0" applyNumberFormat="1" applyFont="1" applyFill="1" applyBorder="1" applyAlignment="1" applyProtection="1">
      <alignment horizontal="center" vertical="center"/>
      <protection hidden="1"/>
    </xf>
    <xf numFmtId="39" fontId="6" fillId="0" borderId="41" xfId="83" applyNumberFormat="1" applyFont="1" applyBorder="1" applyAlignment="1" applyProtection="1">
      <alignment horizontal="center" vertical="center" wrapText="1"/>
    </xf>
    <xf numFmtId="39" fontId="6" fillId="0" borderId="38" xfId="83" applyNumberFormat="1"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6" fillId="0" borderId="72" xfId="0" applyFont="1" applyBorder="1" applyAlignment="1" applyProtection="1">
      <alignment horizontal="center" vertical="center" wrapText="1"/>
    </xf>
    <xf numFmtId="0" fontId="6" fillId="0" borderId="73" xfId="0" applyFont="1" applyBorder="1" applyAlignment="1" applyProtection="1">
      <alignment horizontal="center" vertical="center" wrapText="1"/>
    </xf>
    <xf numFmtId="49" fontId="28" fillId="0" borderId="0" xfId="22" applyNumberFormat="1" applyFont="1" applyFill="1" applyAlignment="1">
      <alignment horizontal="left" vertical="center" wrapText="1"/>
    </xf>
    <xf numFmtId="166" fontId="61" fillId="8" borderId="71" xfId="0" applyNumberFormat="1" applyFont="1" applyFill="1" applyBorder="1" applyAlignment="1" applyProtection="1">
      <alignment horizontal="center" vertical="center"/>
      <protection hidden="1"/>
    </xf>
    <xf numFmtId="0" fontId="66" fillId="0" borderId="0" xfId="22" applyFont="1" applyFill="1" applyBorder="1" applyAlignment="1">
      <alignment horizontal="left" vertical="center"/>
    </xf>
    <xf numFmtId="0" fontId="67" fillId="13" borderId="89" xfId="22" applyFont="1" applyFill="1" applyBorder="1" applyAlignment="1">
      <alignment horizontal="center" vertical="center"/>
    </xf>
    <xf numFmtId="0" fontId="67" fillId="13" borderId="92" xfId="22" applyFont="1" applyFill="1" applyBorder="1" applyAlignment="1">
      <alignment horizontal="center" vertical="center"/>
    </xf>
    <xf numFmtId="0" fontId="30" fillId="8" borderId="90" xfId="22" applyFont="1" applyFill="1" applyBorder="1" applyAlignment="1">
      <alignment horizontal="center" vertical="center" wrapText="1"/>
    </xf>
    <xf numFmtId="0" fontId="30" fillId="8" borderId="91" xfId="22" applyFont="1" applyFill="1" applyBorder="1" applyAlignment="1">
      <alignment horizontal="center" vertical="center"/>
    </xf>
  </cellXfs>
  <cellStyles count="84">
    <cellStyle name="1 indent" xfId="1" xr:uid="{00000000-0005-0000-0000-000000000000}"/>
    <cellStyle name="2 indents" xfId="2" xr:uid="{00000000-0005-0000-0000-000001000000}"/>
    <cellStyle name="20% Akcenat1" xfId="57" builtinId="30" customBuiltin="1"/>
    <cellStyle name="20% Akcenat2" xfId="61" builtinId="34" customBuiltin="1"/>
    <cellStyle name="20% Akcenat3" xfId="65" builtinId="38" customBuiltin="1"/>
    <cellStyle name="20% Akcenat4" xfId="69" builtinId="42" customBuiltin="1"/>
    <cellStyle name="20% Akcenat5" xfId="73" builtinId="46" customBuiltin="1"/>
    <cellStyle name="20% Akcenat6" xfId="77" builtinId="50" customBuiltin="1"/>
    <cellStyle name="3 indents" xfId="3" xr:uid="{00000000-0005-0000-0000-000008000000}"/>
    <cellStyle name="4 indents" xfId="4" xr:uid="{00000000-0005-0000-0000-000009000000}"/>
    <cellStyle name="40% Akcenat1" xfId="58" builtinId="31" customBuiltin="1"/>
    <cellStyle name="40% Akcenat2" xfId="62" builtinId="35" customBuiltin="1"/>
    <cellStyle name="40% Akcenat3" xfId="66" builtinId="39" customBuiltin="1"/>
    <cellStyle name="40% Akcenat4" xfId="70" builtinId="43" customBuiltin="1"/>
    <cellStyle name="40% Akcenat5" xfId="74" builtinId="47" customBuiltin="1"/>
    <cellStyle name="40% Akcenat6" xfId="78" builtinId="51" customBuiltin="1"/>
    <cellStyle name="60% Akcenat1" xfId="59" builtinId="32" customBuiltin="1"/>
    <cellStyle name="60% Akcenat2" xfId="63" builtinId="36" customBuiltin="1"/>
    <cellStyle name="60% Akcenat3" xfId="67" builtinId="40" customBuiltin="1"/>
    <cellStyle name="60% Akcenat4" xfId="71" builtinId="44" customBuiltin="1"/>
    <cellStyle name="60% Akcenat5" xfId="75" builtinId="48" customBuiltin="1"/>
    <cellStyle name="60% Akcenat6" xfId="79" builtinId="52" customBuiltin="1"/>
    <cellStyle name="Akcenat1" xfId="56" builtinId="29" customBuiltin="1"/>
    <cellStyle name="Akcenat2" xfId="60" builtinId="33" customBuiltin="1"/>
    <cellStyle name="Akcenat3" xfId="64" builtinId="37" customBuiltin="1"/>
    <cellStyle name="Akcenat4" xfId="68" builtinId="41" customBuiltin="1"/>
    <cellStyle name="Akcenat5" xfId="72" builtinId="45" customBuiltin="1"/>
    <cellStyle name="Akcenat6" xfId="76" builtinId="49" customBuiltin="1"/>
    <cellStyle name="Bad 2" xfId="81" xr:uid="{00000000-0005-0000-0000-00001D000000}"/>
    <cellStyle name="Ćelija za proveru" xfId="52" builtinId="23" customBuiltin="1"/>
    <cellStyle name="Date" xfId="5" xr:uid="{00000000-0005-0000-0000-000020000000}"/>
    <cellStyle name="Dobro" xfId="46" builtinId="26" customBuiltin="1"/>
    <cellStyle name="F2" xfId="6" xr:uid="{00000000-0005-0000-0000-000022000000}"/>
    <cellStyle name="F3" xfId="7" xr:uid="{00000000-0005-0000-0000-000023000000}"/>
    <cellStyle name="F4" xfId="8" xr:uid="{00000000-0005-0000-0000-000024000000}"/>
    <cellStyle name="F5" xfId="9" xr:uid="{00000000-0005-0000-0000-000025000000}"/>
    <cellStyle name="F6" xfId="10" xr:uid="{00000000-0005-0000-0000-000026000000}"/>
    <cellStyle name="F7" xfId="11" xr:uid="{00000000-0005-0000-0000-000027000000}"/>
    <cellStyle name="F8" xfId="12" xr:uid="{00000000-0005-0000-0000-000028000000}"/>
    <cellStyle name="Fixed" xfId="13" xr:uid="{00000000-0005-0000-0000-000029000000}"/>
    <cellStyle name="HEADING1" xfId="14" xr:uid="{00000000-0005-0000-0000-00002F000000}"/>
    <cellStyle name="HEADING2" xfId="15" xr:uid="{00000000-0005-0000-0000-000030000000}"/>
    <cellStyle name="imf-one decimal" xfId="16" xr:uid="{00000000-0005-0000-0000-000031000000}"/>
    <cellStyle name="imf-zero decimal" xfId="17" xr:uid="{00000000-0005-0000-0000-000032000000}"/>
    <cellStyle name="Izlaz" xfId="49" builtinId="21" customBuiltin="1"/>
    <cellStyle name="Izračunavanje" xfId="50" builtinId="22" customBuiltin="1"/>
    <cellStyle name="Label" xfId="18" xr:uid="{00000000-0005-0000-0000-000034000000}"/>
    <cellStyle name="Loše" xfId="39" builtinId="27"/>
    <cellStyle name="Naslov" xfId="41" builtinId="15" customBuiltin="1"/>
    <cellStyle name="Naslov 1" xfId="42" builtinId="16" customBuiltin="1"/>
    <cellStyle name="Naslov 2" xfId="43" builtinId="17" customBuiltin="1"/>
    <cellStyle name="Naslov 3" xfId="44" builtinId="18" customBuiltin="1"/>
    <cellStyle name="Naslov 4" xfId="45" builtinId="19" customBuiltin="1"/>
    <cellStyle name="Neutralno" xfId="47" builtinId="28" customBuiltin="1"/>
    <cellStyle name="Normal - Style1" xfId="19" xr:uid="{00000000-0005-0000-0000-000038000000}"/>
    <cellStyle name="Normal - Style2" xfId="20" xr:uid="{00000000-0005-0000-0000-000039000000}"/>
    <cellStyle name="Normal - Style3" xfId="21" xr:uid="{00000000-0005-0000-0000-00003A000000}"/>
    <cellStyle name="Normal 10" xfId="33" xr:uid="{00000000-0005-0000-0000-00003B000000}"/>
    <cellStyle name="Normal 11" xfId="34" xr:uid="{00000000-0005-0000-0000-00003C000000}"/>
    <cellStyle name="Normal 12" xfId="35" xr:uid="{00000000-0005-0000-0000-00003D000000}"/>
    <cellStyle name="Normal 13" xfId="80" xr:uid="{00000000-0005-0000-0000-00003E000000}"/>
    <cellStyle name="Normal 2" xfId="22" xr:uid="{00000000-0005-0000-0000-00003F000000}"/>
    <cellStyle name="Normal 2 2" xfId="36" xr:uid="{00000000-0005-0000-0000-000040000000}"/>
    <cellStyle name="Normal 2 2 2" xfId="40" xr:uid="{00000000-0005-0000-0000-000041000000}"/>
    <cellStyle name="Normal 3" xfId="26" xr:uid="{00000000-0005-0000-0000-000042000000}"/>
    <cellStyle name="Normal 4" xfId="27" xr:uid="{00000000-0005-0000-0000-000043000000}"/>
    <cellStyle name="Normal 4 2" xfId="37" xr:uid="{00000000-0005-0000-0000-000044000000}"/>
    <cellStyle name="Normal 5" xfId="28" xr:uid="{00000000-0005-0000-0000-000045000000}"/>
    <cellStyle name="Normal 6" xfId="29" xr:uid="{00000000-0005-0000-0000-000046000000}"/>
    <cellStyle name="Normal 7" xfId="30" xr:uid="{00000000-0005-0000-0000-000047000000}"/>
    <cellStyle name="Normal 8" xfId="31" xr:uid="{00000000-0005-0000-0000-000048000000}"/>
    <cellStyle name="Normal 9" xfId="32" xr:uid="{00000000-0005-0000-0000-000049000000}"/>
    <cellStyle name="Normalan" xfId="0" builtinId="0"/>
    <cellStyle name="Note 2" xfId="82" xr:uid="{00000000-0005-0000-0000-00004A000000}"/>
    <cellStyle name="Obično_KnjigaZIKS i Min pomorstva i saobracaja" xfId="23" xr:uid="{00000000-0005-0000-0000-00004B000000}"/>
    <cellStyle name="percentage difference" xfId="24" xr:uid="{00000000-0005-0000-0000-00004E000000}"/>
    <cellStyle name="Povezana ćelija" xfId="51" builtinId="24" customBuiltin="1"/>
    <cellStyle name="Procenat" xfId="38" builtinId="5"/>
    <cellStyle name="Publication" xfId="25" xr:uid="{00000000-0005-0000-0000-00004F000000}"/>
    <cellStyle name="Tekst objašnjenja" xfId="54" builtinId="53" customBuiltin="1"/>
    <cellStyle name="Tekst upozorenja" xfId="53" builtinId="11" customBuiltin="1"/>
    <cellStyle name="Ukupno" xfId="55" builtinId="25" customBuiltin="1"/>
    <cellStyle name="Unos" xfId="48" builtinId="20" customBuiltin="1"/>
    <cellStyle name="Zarez" xfId="83" builtinId="3"/>
  </cellStyles>
  <dxfs count="4">
    <dxf>
      <font>
        <color theme="0"/>
      </font>
      <fill>
        <patternFill>
          <bgColor rgb="FFFF0000"/>
        </patternFill>
      </fill>
    </dxf>
    <dxf>
      <fill>
        <patternFill>
          <bgColor theme="6" tint="0.39994506668294322"/>
        </patternFill>
      </fill>
    </dxf>
    <dxf>
      <font>
        <color theme="0"/>
      </font>
      <fill>
        <patternFill>
          <bgColor rgb="FFFF0000"/>
        </patternFill>
      </fill>
    </dxf>
    <dxf>
      <fill>
        <patternFill>
          <bgColor theme="6" tint="0.39994506668294322"/>
        </patternFill>
      </fill>
    </dxf>
  </dxfs>
  <tableStyles count="0" defaultTableStyle="TableStyleMedium9" defaultPivotStyle="PivotStyleLight16"/>
  <colors>
    <mruColors>
      <color rgb="FF910000"/>
      <color rgb="FFFFFFCC"/>
      <color rgb="FF820000"/>
      <color rgb="FF5A0000"/>
      <color rgb="FF640000"/>
      <color rgb="FF6E0000"/>
      <color rgb="FF730000"/>
      <color rgb="FF780000"/>
      <color rgb="FF7D0000"/>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r-Latn-R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26640419948037E-2"/>
          <c:y val="0.10176871402444999"/>
          <c:w val="0.88704046369203871"/>
          <c:h val="0.79950762008724086"/>
        </c:manualLayout>
      </c:layout>
      <c:barChart>
        <c:barDir val="col"/>
        <c:grouping val="clustered"/>
        <c:varyColors val="0"/>
        <c:ser>
          <c:idx val="0"/>
          <c:order val="0"/>
          <c:tx>
            <c:strRef>
              <c:f>'Cental Budget - hwy'!$AR$37</c:f>
              <c:strCache>
                <c:ptCount val="1"/>
                <c:pt idx="0">
                  <c:v>Direktni porezi</c:v>
                </c:pt>
              </c:strCache>
            </c:strRef>
          </c:tx>
          <c:spPr>
            <a:solidFill>
              <a:schemeClr val="tx2">
                <a:lumMod val="75000"/>
              </a:schemeClr>
            </a:solidFill>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Procjena 2013</c:v>
              </c:pt>
              <c:pt idx="1">
                <c:v>Nacrt 2014</c:v>
              </c:pt>
              <c:pt idx="2">
                <c:v>2015</c:v>
              </c:pt>
              <c:pt idx="3">
                <c:v>2016</c:v>
              </c:pt>
            </c:strLit>
          </c:cat>
          <c:val>
            <c:numRef>
              <c:f>'Cental Budget - hwy'!$AS$37:$AV$37</c:f>
            </c:numRef>
          </c:val>
          <c:extLst>
            <c:ext xmlns:c16="http://schemas.microsoft.com/office/drawing/2014/chart" uri="{C3380CC4-5D6E-409C-BE32-E72D297353CC}">
              <c16:uniqueId val="{00000000-83EF-48F7-88AF-98EAD3AC9D10}"/>
            </c:ext>
          </c:extLst>
        </c:ser>
        <c:ser>
          <c:idx val="1"/>
          <c:order val="1"/>
          <c:tx>
            <c:strRef>
              <c:f>'Cental Budget - hwy'!$AR$38</c:f>
              <c:strCache>
                <c:ptCount val="1"/>
                <c:pt idx="0">
                  <c:v>Indirektni porezi</c:v>
                </c:pt>
              </c:strCache>
            </c:strRef>
          </c:tx>
          <c:spPr>
            <a:solidFill>
              <a:schemeClr val="bg2"/>
            </a:solidFill>
            <a:ln>
              <a:solidFill>
                <a:srgbClr val="910000"/>
              </a:solidFill>
            </a:ln>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Procjena 2013</c:v>
              </c:pt>
              <c:pt idx="1">
                <c:v>Nacrt 2014</c:v>
              </c:pt>
              <c:pt idx="2">
                <c:v>2015</c:v>
              </c:pt>
              <c:pt idx="3">
                <c:v>2016</c:v>
              </c:pt>
            </c:strLit>
          </c:cat>
          <c:val>
            <c:numRef>
              <c:f>'Cental Budget - hwy'!$AS$38:$AV$38</c:f>
            </c:numRef>
          </c:val>
          <c:extLst>
            <c:ext xmlns:c16="http://schemas.microsoft.com/office/drawing/2014/chart" uri="{C3380CC4-5D6E-409C-BE32-E72D297353CC}">
              <c16:uniqueId val="{00000001-83EF-48F7-88AF-98EAD3AC9D10}"/>
            </c:ext>
          </c:extLst>
        </c:ser>
        <c:ser>
          <c:idx val="2"/>
          <c:order val="2"/>
          <c:tx>
            <c:strRef>
              <c:f>'Cental Budget - hwy'!$AR$39</c:f>
              <c:strCache>
                <c:ptCount val="1"/>
                <c:pt idx="0">
                  <c:v>Neporeski prihodi</c:v>
                </c:pt>
              </c:strCache>
            </c:strRef>
          </c:tx>
          <c:spPr>
            <a:solidFill>
              <a:srgbClr val="910000"/>
            </a:solidFill>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Procjena 2013</c:v>
              </c:pt>
              <c:pt idx="1">
                <c:v>Nacrt 2014</c:v>
              </c:pt>
              <c:pt idx="2">
                <c:v>2015</c:v>
              </c:pt>
              <c:pt idx="3">
                <c:v>2016</c:v>
              </c:pt>
            </c:strLit>
          </c:cat>
          <c:val>
            <c:numRef>
              <c:f>'Cental Budget - hwy'!$AS$39:$AV$39</c:f>
            </c:numRef>
          </c:val>
          <c:extLst>
            <c:ext xmlns:c16="http://schemas.microsoft.com/office/drawing/2014/chart" uri="{C3380CC4-5D6E-409C-BE32-E72D297353CC}">
              <c16:uniqueId val="{00000002-83EF-48F7-88AF-98EAD3AC9D10}"/>
            </c:ext>
          </c:extLst>
        </c:ser>
        <c:dLbls>
          <c:showLegendKey val="0"/>
          <c:showVal val="0"/>
          <c:showCatName val="0"/>
          <c:showSerName val="0"/>
          <c:showPercent val="0"/>
          <c:showBubbleSize val="0"/>
        </c:dLbls>
        <c:gapWidth val="150"/>
        <c:axId val="88070016"/>
        <c:axId val="88071552"/>
      </c:barChart>
      <c:catAx>
        <c:axId val="88070016"/>
        <c:scaling>
          <c:orientation val="minMax"/>
        </c:scaling>
        <c:delete val="0"/>
        <c:axPos val="b"/>
        <c:numFmt formatCode="General" sourceLinked="0"/>
        <c:majorTickMark val="out"/>
        <c:minorTickMark val="none"/>
        <c:tickLblPos val="nextTo"/>
        <c:txPr>
          <a:bodyPr/>
          <a:lstStyle/>
          <a:p>
            <a:pPr>
              <a:defRPr sz="800"/>
            </a:pPr>
            <a:endParaRPr lang="sr-Latn-RS"/>
          </a:p>
        </c:txPr>
        <c:crossAx val="88071552"/>
        <c:crosses val="autoZero"/>
        <c:auto val="1"/>
        <c:lblAlgn val="ctr"/>
        <c:lblOffset val="100"/>
        <c:noMultiLvlLbl val="0"/>
      </c:catAx>
      <c:valAx>
        <c:axId val="88071552"/>
        <c:scaling>
          <c:orientation val="minMax"/>
          <c:max val="750000000"/>
          <c:min val="0"/>
        </c:scaling>
        <c:delete val="0"/>
        <c:axPos val="l"/>
        <c:numFmt formatCode="##,#00,," sourceLinked="1"/>
        <c:majorTickMark val="out"/>
        <c:minorTickMark val="none"/>
        <c:tickLblPos val="nextTo"/>
        <c:txPr>
          <a:bodyPr/>
          <a:lstStyle/>
          <a:p>
            <a:pPr>
              <a:defRPr sz="800"/>
            </a:pPr>
            <a:endParaRPr lang="sr-Latn-RS"/>
          </a:p>
        </c:txPr>
        <c:crossAx val="88070016"/>
        <c:crosses val="autoZero"/>
        <c:crossBetween val="between"/>
        <c:majorUnit val="150000000"/>
      </c:valAx>
    </c:plotArea>
    <c:legend>
      <c:legendPos val="r"/>
      <c:layout>
        <c:manualLayout>
          <c:xMode val="edge"/>
          <c:yMode val="edge"/>
          <c:x val="0.14852909011373591"/>
          <c:y val="1.3710365657102607E-2"/>
          <c:w val="0.75147090988624332"/>
          <c:h val="6.5912543740695925E-2"/>
        </c:manualLayout>
      </c:layout>
      <c:overlay val="0"/>
      <c:txPr>
        <a:bodyPr/>
        <a:lstStyle/>
        <a:p>
          <a:pPr>
            <a:defRPr sz="800"/>
          </a:pPr>
          <a:endParaRPr lang="sr-Latn-R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r-Latn-R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45298938241745"/>
          <c:y val="5.649482149578456E-2"/>
          <c:w val="0.87284886264221229"/>
          <c:h val="0.85039197709952352"/>
        </c:manualLayout>
      </c:layout>
      <c:barChart>
        <c:barDir val="col"/>
        <c:grouping val="stacked"/>
        <c:varyColors val="0"/>
        <c:ser>
          <c:idx val="2"/>
          <c:order val="0"/>
          <c:tx>
            <c:strRef>
              <c:f>'Cental Budget - hwy'!$AR$22</c:f>
              <c:strCache>
                <c:ptCount val="1"/>
                <c:pt idx="0">
                  <c:v>Ostalo</c:v>
                </c:pt>
              </c:strCache>
            </c:strRef>
          </c:tx>
          <c:spPr>
            <a:solidFill>
              <a:srgbClr val="910000"/>
            </a:solidFill>
            <a:ln>
              <a:solidFill>
                <a:srgbClr val="910000"/>
              </a:solidFill>
            </a:ln>
          </c:spPr>
          <c:invertIfNegative val="0"/>
          <c:dLbls>
            <c:spPr>
              <a:noFill/>
              <a:ln>
                <a:noFill/>
              </a:ln>
              <a:effectLst/>
            </c:spPr>
            <c:txPr>
              <a:bodyPr/>
              <a:lstStyle/>
              <a:p>
                <a:pPr>
                  <a:defRPr sz="800">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'Cental Budget - hwy'!$AS$19:$AV$19</c:f>
            </c:multiLvlStrRef>
          </c:cat>
          <c:val>
            <c:numRef>
              <c:f>'Cental Budget - hwy'!$AS$22:$AV$22</c:f>
            </c:numRef>
          </c:val>
          <c:extLst>
            <c:ext xmlns:c16="http://schemas.microsoft.com/office/drawing/2014/chart" uri="{C3380CC4-5D6E-409C-BE32-E72D297353CC}">
              <c16:uniqueId val="{00000000-20A2-4E4B-9A88-164220A768AA}"/>
            </c:ext>
          </c:extLst>
        </c:ser>
        <c:ser>
          <c:idx val="1"/>
          <c:order val="1"/>
          <c:tx>
            <c:strRef>
              <c:f>'Cental Budget - hwy'!$AR$21</c:f>
              <c:strCache>
                <c:ptCount val="1"/>
                <c:pt idx="0">
                  <c:v>Penzije</c:v>
                </c:pt>
              </c:strCache>
            </c:strRef>
          </c:tx>
          <c:spPr>
            <a:solidFill>
              <a:schemeClr val="bg2"/>
            </a:solidFill>
            <a:ln>
              <a:solidFill>
                <a:srgbClr val="910000"/>
              </a:solidFill>
            </a:ln>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'Cental Budget - hwy'!$AS$19:$AV$19</c:f>
            </c:multiLvlStrRef>
          </c:cat>
          <c:val>
            <c:numRef>
              <c:f>'Cental Budget - hwy'!$AS$21:$AV$21</c:f>
            </c:numRef>
          </c:val>
          <c:extLst>
            <c:ext xmlns:c16="http://schemas.microsoft.com/office/drawing/2014/chart" uri="{C3380CC4-5D6E-409C-BE32-E72D297353CC}">
              <c16:uniqueId val="{00000001-20A2-4E4B-9A88-164220A768AA}"/>
            </c:ext>
          </c:extLst>
        </c:ser>
        <c:ser>
          <c:idx val="0"/>
          <c:order val="2"/>
          <c:tx>
            <c:strRef>
              <c:f>'Cental Budget - hwy'!$AR$20</c:f>
              <c:strCache>
                <c:ptCount val="1"/>
                <c:pt idx="0">
                  <c:v>Bruto zarade</c:v>
                </c:pt>
              </c:strCache>
            </c:strRef>
          </c:tx>
          <c:spPr>
            <a:solidFill>
              <a:schemeClr val="tx2">
                <a:lumMod val="75000"/>
              </a:schemeClr>
            </a:solidFill>
            <a:ln>
              <a:solidFill>
                <a:schemeClr val="tx2">
                  <a:lumMod val="75000"/>
                </a:schemeClr>
              </a:solidFill>
            </a:ln>
          </c:spPr>
          <c:invertIfNegative val="0"/>
          <c:dLbls>
            <c:spPr>
              <a:noFill/>
              <a:ln>
                <a:noFill/>
              </a:ln>
              <a:effectLst/>
            </c:spPr>
            <c:txPr>
              <a:bodyPr/>
              <a:lstStyle/>
              <a:p>
                <a:pPr>
                  <a:defRPr sz="800">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'Cental Budget - hwy'!$AS$19:$AV$19</c:f>
            </c:multiLvlStrRef>
          </c:cat>
          <c:val>
            <c:numRef>
              <c:f>'Cental Budget - hwy'!$AS$20:$AV$20</c:f>
            </c:numRef>
          </c:val>
          <c:extLst>
            <c:ext xmlns:c16="http://schemas.microsoft.com/office/drawing/2014/chart" uri="{C3380CC4-5D6E-409C-BE32-E72D297353CC}">
              <c16:uniqueId val="{00000002-20A2-4E4B-9A88-164220A768AA}"/>
            </c:ext>
          </c:extLst>
        </c:ser>
        <c:dLbls>
          <c:showLegendKey val="0"/>
          <c:showVal val="0"/>
          <c:showCatName val="0"/>
          <c:showSerName val="0"/>
          <c:showPercent val="0"/>
          <c:showBubbleSize val="0"/>
        </c:dLbls>
        <c:gapWidth val="150"/>
        <c:overlap val="100"/>
        <c:axId val="88132608"/>
        <c:axId val="95748864"/>
      </c:barChart>
      <c:catAx>
        <c:axId val="88132608"/>
        <c:scaling>
          <c:orientation val="minMax"/>
        </c:scaling>
        <c:delete val="0"/>
        <c:axPos val="b"/>
        <c:numFmt formatCode="General" sourceLinked="0"/>
        <c:majorTickMark val="out"/>
        <c:minorTickMark val="none"/>
        <c:tickLblPos val="nextTo"/>
        <c:txPr>
          <a:bodyPr/>
          <a:lstStyle/>
          <a:p>
            <a:pPr>
              <a:defRPr sz="800"/>
            </a:pPr>
            <a:endParaRPr lang="sr-Latn-RS"/>
          </a:p>
        </c:txPr>
        <c:crossAx val="95748864"/>
        <c:crosses val="autoZero"/>
        <c:auto val="1"/>
        <c:lblAlgn val="ctr"/>
        <c:lblOffset val="100"/>
        <c:noMultiLvlLbl val="0"/>
      </c:catAx>
      <c:valAx>
        <c:axId val="95748864"/>
        <c:scaling>
          <c:orientation val="minMax"/>
        </c:scaling>
        <c:delete val="0"/>
        <c:axPos val="l"/>
        <c:numFmt formatCode="###,000" sourceLinked="1"/>
        <c:majorTickMark val="out"/>
        <c:minorTickMark val="none"/>
        <c:tickLblPos val="nextTo"/>
        <c:txPr>
          <a:bodyPr/>
          <a:lstStyle/>
          <a:p>
            <a:pPr>
              <a:defRPr sz="800"/>
            </a:pPr>
            <a:endParaRPr lang="sr-Latn-RS"/>
          </a:p>
        </c:txPr>
        <c:crossAx val="88132608"/>
        <c:crosses val="autoZero"/>
        <c:crossBetween val="between"/>
      </c:valAx>
    </c:plotArea>
    <c:legend>
      <c:legendPos val="r"/>
      <c:layout>
        <c:manualLayout>
          <c:xMode val="edge"/>
          <c:yMode val="edge"/>
          <c:x val="0.20473753280840529"/>
          <c:y val="2.7587917569529361E-2"/>
          <c:w val="0.61192913385826775"/>
          <c:h val="8.4415946290595997E-2"/>
        </c:manualLayout>
      </c:layout>
      <c:overlay val="0"/>
      <c:txPr>
        <a:bodyPr/>
        <a:lstStyle/>
        <a:p>
          <a:pPr>
            <a:defRPr sz="800"/>
          </a:pPr>
          <a:endParaRPr lang="sr-Latn-R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r-Latn-R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266404199480467E-2"/>
          <c:y val="0.10176871402444999"/>
          <c:w val="0.88704046369203871"/>
          <c:h val="0.79950762008724052"/>
        </c:manualLayout>
      </c:layout>
      <c:barChart>
        <c:barDir val="col"/>
        <c:grouping val="clustered"/>
        <c:varyColors val="0"/>
        <c:ser>
          <c:idx val="0"/>
          <c:order val="0"/>
          <c:spPr>
            <a:solidFill>
              <a:schemeClr val="tx2">
                <a:lumMod val="75000"/>
              </a:schemeClr>
            </a:solidFill>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Procjena 2013</c:v>
              </c:pt>
              <c:pt idx="1">
                <c:v>Nacrt 2014</c:v>
              </c:pt>
              <c:pt idx="2">
                <c:v>2015</c:v>
              </c:pt>
              <c:pt idx="3">
                <c:v>2016</c:v>
              </c:pt>
            </c:strLit>
          </c:cat>
          <c:val>
            <c:numRef>
              <c:f>'Public Expenditure'!#REF!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'Public Expenditure'!#REF!</c15:sqref>
                        </c15:formulaRef>
                      </c:ext>
                    </c:extLst>
                    <c:strCache>
                      <c:ptCount val="1"/>
                      <c:pt idx="0">
                        <c:v>#REF!</c:v>
                      </c:pt>
                    </c:strCache>
                  </c:strRef>
                </c15:tx>
              </c15:filteredSeriesTitle>
            </c:ext>
            <c:ext xmlns:c16="http://schemas.microsoft.com/office/drawing/2014/chart" uri="{C3380CC4-5D6E-409C-BE32-E72D297353CC}">
              <c16:uniqueId val="{00000000-90A8-45AC-8F83-A1D3066370A5}"/>
            </c:ext>
          </c:extLst>
        </c:ser>
        <c:ser>
          <c:idx val="1"/>
          <c:order val="1"/>
          <c:spPr>
            <a:solidFill>
              <a:schemeClr val="bg2"/>
            </a:solidFill>
            <a:ln>
              <a:solidFill>
                <a:srgbClr val="910000"/>
              </a:solidFill>
            </a:ln>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Procjena 2013</c:v>
              </c:pt>
              <c:pt idx="1">
                <c:v>Nacrt 2014</c:v>
              </c:pt>
              <c:pt idx="2">
                <c:v>2015</c:v>
              </c:pt>
              <c:pt idx="3">
                <c:v>2016</c:v>
              </c:pt>
            </c:strLit>
          </c:cat>
          <c:val>
            <c:numRef>
              <c:f>'Public Expenditure'!#REF!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'Public Expenditure'!#REF!</c15:sqref>
                        </c15:formulaRef>
                      </c:ext>
                    </c:extLst>
                    <c:strCache>
                      <c:ptCount val="1"/>
                      <c:pt idx="0">
                        <c:v>#REF!</c:v>
                      </c:pt>
                    </c:strCache>
                  </c:strRef>
                </c15:tx>
              </c15:filteredSeriesTitle>
            </c:ext>
            <c:ext xmlns:c16="http://schemas.microsoft.com/office/drawing/2014/chart" uri="{C3380CC4-5D6E-409C-BE32-E72D297353CC}">
              <c16:uniqueId val="{00000001-90A8-45AC-8F83-A1D3066370A5}"/>
            </c:ext>
          </c:extLst>
        </c:ser>
        <c:ser>
          <c:idx val="2"/>
          <c:order val="2"/>
          <c:spPr>
            <a:solidFill>
              <a:srgbClr val="910000"/>
            </a:solidFill>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Procjena 2013</c:v>
              </c:pt>
              <c:pt idx="1">
                <c:v>Nacrt 2014</c:v>
              </c:pt>
              <c:pt idx="2">
                <c:v>2015</c:v>
              </c:pt>
              <c:pt idx="3">
                <c:v>2016</c:v>
              </c:pt>
            </c:strLit>
          </c:cat>
          <c:val>
            <c:numRef>
              <c:f>'Public Expenditure'!#REF!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'Public Expenditure'!#REF!</c15:sqref>
                        </c15:formulaRef>
                      </c:ext>
                    </c:extLst>
                    <c:strCache>
                      <c:ptCount val="1"/>
                      <c:pt idx="0">
                        <c:v>#REF!</c:v>
                      </c:pt>
                    </c:strCache>
                  </c:strRef>
                </c15:tx>
              </c15:filteredSeriesTitle>
            </c:ext>
            <c:ext xmlns:c16="http://schemas.microsoft.com/office/drawing/2014/chart" uri="{C3380CC4-5D6E-409C-BE32-E72D297353CC}">
              <c16:uniqueId val="{00000002-90A8-45AC-8F83-A1D3066370A5}"/>
            </c:ext>
          </c:extLst>
        </c:ser>
        <c:dLbls>
          <c:showLegendKey val="0"/>
          <c:showVal val="0"/>
          <c:showCatName val="0"/>
          <c:showSerName val="0"/>
          <c:showPercent val="0"/>
          <c:showBubbleSize val="0"/>
        </c:dLbls>
        <c:gapWidth val="150"/>
        <c:axId val="101649024"/>
        <c:axId val="101679488"/>
      </c:barChart>
      <c:catAx>
        <c:axId val="101649024"/>
        <c:scaling>
          <c:orientation val="minMax"/>
        </c:scaling>
        <c:delete val="0"/>
        <c:axPos val="b"/>
        <c:numFmt formatCode="General" sourceLinked="0"/>
        <c:majorTickMark val="out"/>
        <c:minorTickMark val="none"/>
        <c:tickLblPos val="nextTo"/>
        <c:txPr>
          <a:bodyPr/>
          <a:lstStyle/>
          <a:p>
            <a:pPr>
              <a:defRPr sz="800"/>
            </a:pPr>
            <a:endParaRPr lang="sr-Latn-RS"/>
          </a:p>
        </c:txPr>
        <c:crossAx val="101679488"/>
        <c:crosses val="autoZero"/>
        <c:auto val="1"/>
        <c:lblAlgn val="ctr"/>
        <c:lblOffset val="100"/>
        <c:noMultiLvlLbl val="0"/>
      </c:catAx>
      <c:valAx>
        <c:axId val="101679488"/>
        <c:scaling>
          <c:orientation val="minMax"/>
          <c:max val="750000000"/>
          <c:min val="0"/>
        </c:scaling>
        <c:delete val="0"/>
        <c:axPos val="l"/>
        <c:numFmt formatCode="General" sourceLinked="1"/>
        <c:majorTickMark val="out"/>
        <c:minorTickMark val="none"/>
        <c:tickLblPos val="nextTo"/>
        <c:txPr>
          <a:bodyPr/>
          <a:lstStyle/>
          <a:p>
            <a:pPr>
              <a:defRPr sz="800"/>
            </a:pPr>
            <a:endParaRPr lang="sr-Latn-RS"/>
          </a:p>
        </c:txPr>
        <c:crossAx val="101649024"/>
        <c:crosses val="autoZero"/>
        <c:crossBetween val="between"/>
        <c:majorUnit val="150000000"/>
      </c:valAx>
    </c:plotArea>
    <c:legend>
      <c:legendPos val="r"/>
      <c:layout>
        <c:manualLayout>
          <c:xMode val="edge"/>
          <c:yMode val="edge"/>
          <c:x val="0.14852909011373591"/>
          <c:y val="1.3710365657102612E-2"/>
          <c:w val="0.7514709098862431"/>
          <c:h val="6.5912543740695925E-2"/>
        </c:manualLayout>
      </c:layout>
      <c:overlay val="0"/>
      <c:txPr>
        <a:bodyPr/>
        <a:lstStyle/>
        <a:p>
          <a:pPr>
            <a:defRPr sz="800"/>
          </a:pPr>
          <a:endParaRPr lang="sr-Latn-R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r-Latn-R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45298938241745"/>
          <c:y val="5.649482149578456E-2"/>
          <c:w val="0.87284886264221273"/>
          <c:h val="0.85039197709952385"/>
        </c:manualLayout>
      </c:layout>
      <c:barChart>
        <c:barDir val="col"/>
        <c:grouping val="stacked"/>
        <c:varyColors val="0"/>
        <c:ser>
          <c:idx val="2"/>
          <c:order val="0"/>
          <c:tx>
            <c:strRef>
              <c:f>'Public Expenditure -hwy'!$AP$22</c:f>
              <c:strCache>
                <c:ptCount val="1"/>
                <c:pt idx="0">
                  <c:v>Ostalo</c:v>
                </c:pt>
              </c:strCache>
            </c:strRef>
          </c:tx>
          <c:spPr>
            <a:solidFill>
              <a:srgbClr val="910000"/>
            </a:solidFill>
            <a:ln>
              <a:solidFill>
                <a:srgbClr val="910000"/>
              </a:solidFill>
            </a:ln>
          </c:spPr>
          <c:invertIfNegative val="0"/>
          <c:dLbls>
            <c:spPr>
              <a:noFill/>
              <a:ln>
                <a:noFill/>
              </a:ln>
              <a:effectLst/>
            </c:spPr>
            <c:txPr>
              <a:bodyPr/>
              <a:lstStyle/>
              <a:p>
                <a:pPr>
                  <a:defRPr sz="800">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'Public Expenditure -hwy'!$AQ$19:$AT$19</c:f>
              <c:strCache>
                <c:ptCount val="4"/>
                <c:pt idx="0">
                  <c:v>2013</c:v>
                </c:pt>
                <c:pt idx="1">
                  <c:v>Plan 2014</c:v>
                </c:pt>
                <c:pt idx="2">
                  <c:v>Procjena 2014</c:v>
                </c:pt>
                <c:pt idx="3">
                  <c:v>Procjena 2015</c:v>
                </c:pt>
              </c:strCache>
            </c:strRef>
          </c:cat>
          <c:val>
            <c:numRef>
              <c:f>'Public Expenditure -hwy'!$AQ$22:$AT$22</c:f>
              <c:numCache>
                <c:formatCode>#,##0.00</c:formatCode>
                <c:ptCount val="4"/>
                <c:pt idx="0">
                  <c:v>3.9323929038976928</c:v>
                </c:pt>
                <c:pt idx="1">
                  <c:v>1.5804955210723968</c:v>
                </c:pt>
                <c:pt idx="2">
                  <c:v>2.4380568359822732</c:v>
                </c:pt>
                <c:pt idx="3">
                  <c:v>4.6979493124265481</c:v>
                </c:pt>
              </c:numCache>
            </c:numRef>
          </c:val>
          <c:extLst>
            <c:ext xmlns:c16="http://schemas.microsoft.com/office/drawing/2014/chart" uri="{C3380CC4-5D6E-409C-BE32-E72D297353CC}">
              <c16:uniqueId val="{00000000-F1AF-417C-B4C6-5F0A4FB91D6E}"/>
            </c:ext>
          </c:extLst>
        </c:ser>
        <c:ser>
          <c:idx val="1"/>
          <c:order val="1"/>
          <c:tx>
            <c:strRef>
              <c:f>'Public Expenditure -hwy'!$AP$21</c:f>
              <c:strCache>
                <c:ptCount val="1"/>
                <c:pt idx="0">
                  <c:v>Penzije</c:v>
                </c:pt>
              </c:strCache>
            </c:strRef>
          </c:tx>
          <c:spPr>
            <a:solidFill>
              <a:schemeClr val="bg2"/>
            </a:solidFill>
            <a:ln>
              <a:solidFill>
                <a:srgbClr val="910000"/>
              </a:solidFill>
            </a:ln>
          </c:spPr>
          <c:invertIfNegative val="0"/>
          <c:dLbls>
            <c:spPr>
              <a:noFill/>
              <a:ln>
                <a:noFill/>
              </a:ln>
              <a:effectLst/>
            </c:spPr>
            <c:txPr>
              <a:bodyPr/>
              <a:lstStyle/>
              <a:p>
                <a:pPr>
                  <a:defRPr sz="800"/>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'Public Expenditure -hwy'!$AQ$19:$AT$19</c:f>
              <c:strCache>
                <c:ptCount val="4"/>
                <c:pt idx="0">
                  <c:v>2013</c:v>
                </c:pt>
                <c:pt idx="1">
                  <c:v>Plan 2014</c:v>
                </c:pt>
                <c:pt idx="2">
                  <c:v>Procjena 2014</c:v>
                </c:pt>
                <c:pt idx="3">
                  <c:v>Procjena 2015</c:v>
                </c:pt>
              </c:strCache>
            </c:strRef>
          </c:cat>
          <c:val>
            <c:numRef>
              <c:f>'Public Expenditure -hwy'!$AQ$21:$AT$21</c:f>
              <c:numCache>
                <c:formatCode>#,##0.00</c:formatCode>
                <c:ptCount val="4"/>
                <c:pt idx="0">
                  <c:v>11.486881531298929</c:v>
                </c:pt>
                <c:pt idx="1">
                  <c:v>11.299844898910312</c:v>
                </c:pt>
                <c:pt idx="2">
                  <c:v>11.299844898910312</c:v>
                </c:pt>
                <c:pt idx="3">
                  <c:v>11.026926777171898</c:v>
                </c:pt>
              </c:numCache>
            </c:numRef>
          </c:val>
          <c:extLst>
            <c:ext xmlns:c16="http://schemas.microsoft.com/office/drawing/2014/chart" uri="{C3380CC4-5D6E-409C-BE32-E72D297353CC}">
              <c16:uniqueId val="{00000001-F1AF-417C-B4C6-5F0A4FB91D6E}"/>
            </c:ext>
          </c:extLst>
        </c:ser>
        <c:ser>
          <c:idx val="0"/>
          <c:order val="2"/>
          <c:tx>
            <c:strRef>
              <c:f>'Public Expenditure -hwy'!$AP$20</c:f>
              <c:strCache>
                <c:ptCount val="1"/>
                <c:pt idx="0">
                  <c:v>Bruto zarade</c:v>
                </c:pt>
              </c:strCache>
            </c:strRef>
          </c:tx>
          <c:spPr>
            <a:solidFill>
              <a:schemeClr val="tx2">
                <a:lumMod val="75000"/>
              </a:schemeClr>
            </a:solidFill>
            <a:ln>
              <a:solidFill>
                <a:schemeClr val="tx2">
                  <a:lumMod val="75000"/>
                </a:schemeClr>
              </a:solidFill>
            </a:ln>
          </c:spPr>
          <c:invertIfNegative val="0"/>
          <c:dLbls>
            <c:spPr>
              <a:noFill/>
              <a:ln>
                <a:noFill/>
              </a:ln>
              <a:effectLst/>
            </c:spPr>
            <c:txPr>
              <a:bodyPr/>
              <a:lstStyle/>
              <a:p>
                <a:pPr>
                  <a:defRPr sz="800">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'Public Expenditure -hwy'!$AQ$19:$AT$19</c:f>
              <c:strCache>
                <c:ptCount val="4"/>
                <c:pt idx="0">
                  <c:v>2013</c:v>
                </c:pt>
                <c:pt idx="1">
                  <c:v>Plan 2014</c:v>
                </c:pt>
                <c:pt idx="2">
                  <c:v>Procjena 2014</c:v>
                </c:pt>
                <c:pt idx="3">
                  <c:v>Procjena 2015</c:v>
                </c:pt>
              </c:strCache>
            </c:strRef>
          </c:cat>
          <c:val>
            <c:numRef>
              <c:f>'Public Expenditure -hwy'!$AQ$20:$AT$20</c:f>
              <c:numCache>
                <c:formatCode>#,##0.00</c:formatCode>
                <c:ptCount val="4"/>
                <c:pt idx="0">
                  <c:v>10.975422305375018</c:v>
                </c:pt>
                <c:pt idx="1">
                  <c:v>10.991793193911903</c:v>
                </c:pt>
                <c:pt idx="2">
                  <c:v>10.991793193911903</c:v>
                </c:pt>
                <c:pt idx="3">
                  <c:v>10.620090042426959</c:v>
                </c:pt>
              </c:numCache>
            </c:numRef>
          </c:val>
          <c:extLst>
            <c:ext xmlns:c16="http://schemas.microsoft.com/office/drawing/2014/chart" uri="{C3380CC4-5D6E-409C-BE32-E72D297353CC}">
              <c16:uniqueId val="{00000002-F1AF-417C-B4C6-5F0A4FB91D6E}"/>
            </c:ext>
          </c:extLst>
        </c:ser>
        <c:dLbls>
          <c:showLegendKey val="0"/>
          <c:showVal val="0"/>
          <c:showCatName val="0"/>
          <c:showSerName val="0"/>
          <c:showPercent val="0"/>
          <c:showBubbleSize val="0"/>
        </c:dLbls>
        <c:gapWidth val="150"/>
        <c:overlap val="100"/>
        <c:axId val="101715328"/>
        <c:axId val="101725312"/>
      </c:barChart>
      <c:catAx>
        <c:axId val="101715328"/>
        <c:scaling>
          <c:orientation val="minMax"/>
        </c:scaling>
        <c:delete val="0"/>
        <c:axPos val="b"/>
        <c:numFmt formatCode="General" sourceLinked="0"/>
        <c:majorTickMark val="out"/>
        <c:minorTickMark val="none"/>
        <c:tickLblPos val="nextTo"/>
        <c:txPr>
          <a:bodyPr/>
          <a:lstStyle/>
          <a:p>
            <a:pPr>
              <a:defRPr sz="800"/>
            </a:pPr>
            <a:endParaRPr lang="sr-Latn-RS"/>
          </a:p>
        </c:txPr>
        <c:crossAx val="101725312"/>
        <c:crosses val="autoZero"/>
        <c:auto val="1"/>
        <c:lblAlgn val="ctr"/>
        <c:lblOffset val="100"/>
        <c:noMultiLvlLbl val="0"/>
      </c:catAx>
      <c:valAx>
        <c:axId val="101725312"/>
        <c:scaling>
          <c:orientation val="minMax"/>
        </c:scaling>
        <c:delete val="0"/>
        <c:axPos val="l"/>
        <c:numFmt formatCode="#,##0.00" sourceLinked="1"/>
        <c:majorTickMark val="out"/>
        <c:minorTickMark val="none"/>
        <c:tickLblPos val="nextTo"/>
        <c:txPr>
          <a:bodyPr/>
          <a:lstStyle/>
          <a:p>
            <a:pPr>
              <a:defRPr sz="800"/>
            </a:pPr>
            <a:endParaRPr lang="sr-Latn-RS"/>
          </a:p>
        </c:txPr>
        <c:crossAx val="101715328"/>
        <c:crosses val="autoZero"/>
        <c:crossBetween val="between"/>
      </c:valAx>
    </c:plotArea>
    <c:legend>
      <c:legendPos val="r"/>
      <c:layout>
        <c:manualLayout>
          <c:xMode val="edge"/>
          <c:yMode val="edge"/>
          <c:x val="0.20473753280840534"/>
          <c:y val="2.7587917569529396E-2"/>
          <c:w val="0.61192913385826775"/>
          <c:h val="8.4415946290595997E-2"/>
        </c:manualLayout>
      </c:layout>
      <c:overlay val="0"/>
      <c:txPr>
        <a:bodyPr/>
        <a:lstStyle/>
        <a:p>
          <a:pPr>
            <a:defRPr sz="800"/>
          </a:pPr>
          <a:endParaRPr lang="sr-Latn-R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r-Latn-R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30087378318533E-2"/>
          <c:y val="9.3067220764074851E-2"/>
          <c:w val="0.91423489152463533"/>
          <c:h val="0.80647637795273908"/>
        </c:manualLayout>
      </c:layout>
      <c:lineChart>
        <c:grouping val="standard"/>
        <c:varyColors val="0"/>
        <c:ser>
          <c:idx val="0"/>
          <c:order val="0"/>
          <c:tx>
            <c:strRef>
              <c:f>Sheet1!$C$5</c:f>
              <c:strCache>
                <c:ptCount val="1"/>
                <c:pt idx="0">
                  <c:v>Mjesečni plan prihoda 2014</c:v>
                </c:pt>
              </c:strCache>
            </c:strRef>
          </c:tx>
          <c:spPr>
            <a:ln>
              <a:solidFill>
                <a:srgbClr val="910000"/>
              </a:solidFill>
              <a:prstDash val="sysDash"/>
            </a:ln>
          </c:spPr>
          <c:marker>
            <c:symbol val="none"/>
          </c:marker>
          <c:cat>
            <c:strRef>
              <c:f>Sheet1!$D$4:$O$4</c:f>
              <c:strCache>
                <c:ptCount val="12"/>
                <c:pt idx="0">
                  <c:v>Januar</c:v>
                </c:pt>
                <c:pt idx="1">
                  <c:v>Februar</c:v>
                </c:pt>
                <c:pt idx="2">
                  <c:v>Mart</c:v>
                </c:pt>
                <c:pt idx="3">
                  <c:v>April</c:v>
                </c:pt>
                <c:pt idx="4">
                  <c:v>Maj</c:v>
                </c:pt>
                <c:pt idx="5">
                  <c:v>Jun</c:v>
                </c:pt>
                <c:pt idx="6">
                  <c:v>Jul</c:v>
                </c:pt>
                <c:pt idx="7">
                  <c:v>Avgust</c:v>
                </c:pt>
                <c:pt idx="8">
                  <c:v>Septembar</c:v>
                </c:pt>
                <c:pt idx="9">
                  <c:v>Oktobar</c:v>
                </c:pt>
                <c:pt idx="10">
                  <c:v>Novembar</c:v>
                </c:pt>
                <c:pt idx="11">
                  <c:v>Decembar</c:v>
                </c:pt>
              </c:strCache>
            </c:strRef>
          </c:cat>
          <c:val>
            <c:numRef>
              <c:f>Sheet1!$D$5:$O$5</c:f>
              <c:numCache>
                <c:formatCode>#,##0.0,,</c:formatCode>
                <c:ptCount val="12"/>
                <c:pt idx="0">
                  <c:v>62425293.156965584</c:v>
                </c:pt>
                <c:pt idx="1">
                  <c:v>79762187.59852089</c:v>
                </c:pt>
                <c:pt idx="2">
                  <c:v>89318688.151918903</c:v>
                </c:pt>
                <c:pt idx="3">
                  <c:v>106294081.27535464</c:v>
                </c:pt>
                <c:pt idx="4">
                  <c:v>97189661.825924918</c:v>
                </c:pt>
                <c:pt idx="5">
                  <c:v>105191801.34506513</c:v>
                </c:pt>
                <c:pt idx="6">
                  <c:v>123272889.17858437</c:v>
                </c:pt>
                <c:pt idx="7">
                  <c:v>125579133.65326507</c:v>
                </c:pt>
                <c:pt idx="8">
                  <c:v>121047897.33843082</c:v>
                </c:pt>
                <c:pt idx="9">
                  <c:v>114789505.85515907</c:v>
                </c:pt>
                <c:pt idx="10">
                  <c:v>97406301.479715049</c:v>
                </c:pt>
                <c:pt idx="11">
                  <c:v>145778958.57826602</c:v>
                </c:pt>
              </c:numCache>
            </c:numRef>
          </c:val>
          <c:smooth val="1"/>
          <c:extLst>
            <c:ext xmlns:c16="http://schemas.microsoft.com/office/drawing/2014/chart" uri="{C3380CC4-5D6E-409C-BE32-E72D297353CC}">
              <c16:uniqueId val="{00000000-4A45-4DC4-9E99-23AA609DED80}"/>
            </c:ext>
          </c:extLst>
        </c:ser>
        <c:ser>
          <c:idx val="1"/>
          <c:order val="1"/>
          <c:tx>
            <c:strRef>
              <c:f>Sheet1!$C$6</c:f>
              <c:strCache>
                <c:ptCount val="1"/>
                <c:pt idx="0">
                  <c:v>Mjesečna procjena prihoda 2014</c:v>
                </c:pt>
              </c:strCache>
            </c:strRef>
          </c:tx>
          <c:spPr>
            <a:ln>
              <a:solidFill>
                <a:schemeClr val="tx1"/>
              </a:solidFill>
              <a:prstDash val="sysDot"/>
            </a:ln>
          </c:spPr>
          <c:marker>
            <c:symbol val="none"/>
          </c:marker>
          <c:dPt>
            <c:idx val="1"/>
            <c:bubble3D val="0"/>
            <c:spPr>
              <a:ln>
                <a:solidFill>
                  <a:schemeClr val="tx1"/>
                </a:solidFill>
                <a:prstDash val="solid"/>
              </a:ln>
            </c:spPr>
            <c:extLst>
              <c:ext xmlns:c16="http://schemas.microsoft.com/office/drawing/2014/chart" uri="{C3380CC4-5D6E-409C-BE32-E72D297353CC}">
                <c16:uniqueId val="{00000001-4A45-4DC4-9E99-23AA609DED80}"/>
              </c:ext>
            </c:extLst>
          </c:dPt>
          <c:dPt>
            <c:idx val="2"/>
            <c:bubble3D val="0"/>
            <c:spPr>
              <a:ln>
                <a:solidFill>
                  <a:schemeClr val="tx1"/>
                </a:solidFill>
                <a:prstDash val="solid"/>
              </a:ln>
            </c:spPr>
            <c:extLst>
              <c:ext xmlns:c16="http://schemas.microsoft.com/office/drawing/2014/chart" uri="{C3380CC4-5D6E-409C-BE32-E72D297353CC}">
                <c16:uniqueId val="{00000002-4A45-4DC4-9E99-23AA609DED80}"/>
              </c:ext>
            </c:extLst>
          </c:dPt>
          <c:cat>
            <c:strRef>
              <c:f>Sheet1!$D$4:$O$4</c:f>
              <c:strCache>
                <c:ptCount val="12"/>
                <c:pt idx="0">
                  <c:v>Januar</c:v>
                </c:pt>
                <c:pt idx="1">
                  <c:v>Februar</c:v>
                </c:pt>
                <c:pt idx="2">
                  <c:v>Mart</c:v>
                </c:pt>
                <c:pt idx="3">
                  <c:v>April</c:v>
                </c:pt>
                <c:pt idx="4">
                  <c:v>Maj</c:v>
                </c:pt>
                <c:pt idx="5">
                  <c:v>Jun</c:v>
                </c:pt>
                <c:pt idx="6">
                  <c:v>Jul</c:v>
                </c:pt>
                <c:pt idx="7">
                  <c:v>Avgust</c:v>
                </c:pt>
                <c:pt idx="8">
                  <c:v>Septembar</c:v>
                </c:pt>
                <c:pt idx="9">
                  <c:v>Oktobar</c:v>
                </c:pt>
                <c:pt idx="10">
                  <c:v>Novembar</c:v>
                </c:pt>
                <c:pt idx="11">
                  <c:v>Decembar</c:v>
                </c:pt>
              </c:strCache>
            </c:strRef>
          </c:cat>
          <c:val>
            <c:numRef>
              <c:f>Sheet1!$D$6:$O$6</c:f>
              <c:numCache>
                <c:formatCode>#,##0.0,,</c:formatCode>
                <c:ptCount val="12"/>
                <c:pt idx="0">
                  <c:v>70632268.589999989</c:v>
                </c:pt>
                <c:pt idx="1">
                  <c:v>81381758.450000018</c:v>
                </c:pt>
                <c:pt idx="2">
                  <c:v>100495765.61000001</c:v>
                </c:pt>
                <c:pt idx="3">
                  <c:v>107356417.33534782</c:v>
                </c:pt>
                <c:pt idx="4">
                  <c:v>98816734.644163221</c:v>
                </c:pt>
                <c:pt idx="5">
                  <c:v>107147051.5707173</c:v>
                </c:pt>
                <c:pt idx="6">
                  <c:v>125666748.8575906</c:v>
                </c:pt>
                <c:pt idx="7">
                  <c:v>127890096.38694921</c:v>
                </c:pt>
                <c:pt idx="8">
                  <c:v>123465322.33433203</c:v>
                </c:pt>
                <c:pt idx="9">
                  <c:v>117130344.73943919</c:v>
                </c:pt>
                <c:pt idx="10">
                  <c:v>99294843.070796907</c:v>
                </c:pt>
                <c:pt idx="11">
                  <c:v>149056317.49743444</c:v>
                </c:pt>
              </c:numCache>
            </c:numRef>
          </c:val>
          <c:smooth val="1"/>
          <c:extLst>
            <c:ext xmlns:c16="http://schemas.microsoft.com/office/drawing/2014/chart" uri="{C3380CC4-5D6E-409C-BE32-E72D297353CC}">
              <c16:uniqueId val="{00000003-4A45-4DC4-9E99-23AA609DED80}"/>
            </c:ext>
          </c:extLst>
        </c:ser>
        <c:ser>
          <c:idx val="2"/>
          <c:order val="2"/>
          <c:tx>
            <c:strRef>
              <c:f>Sheet1!$C$7</c:f>
              <c:strCache>
                <c:ptCount val="1"/>
                <c:pt idx="0">
                  <c:v>Ostvarenje prihoda 2013</c:v>
                </c:pt>
              </c:strCache>
            </c:strRef>
          </c:tx>
          <c:spPr>
            <a:ln>
              <a:solidFill>
                <a:schemeClr val="tx2">
                  <a:lumMod val="75000"/>
                </a:schemeClr>
              </a:solidFill>
            </a:ln>
          </c:spPr>
          <c:marker>
            <c:symbol val="none"/>
          </c:marker>
          <c:cat>
            <c:strRef>
              <c:f>Sheet1!$D$4:$O$4</c:f>
              <c:strCache>
                <c:ptCount val="12"/>
                <c:pt idx="0">
                  <c:v>Januar</c:v>
                </c:pt>
                <c:pt idx="1">
                  <c:v>Februar</c:v>
                </c:pt>
                <c:pt idx="2">
                  <c:v>Mart</c:v>
                </c:pt>
                <c:pt idx="3">
                  <c:v>April</c:v>
                </c:pt>
                <c:pt idx="4">
                  <c:v>Maj</c:v>
                </c:pt>
                <c:pt idx="5">
                  <c:v>Jun</c:v>
                </c:pt>
                <c:pt idx="6">
                  <c:v>Jul</c:v>
                </c:pt>
                <c:pt idx="7">
                  <c:v>Avgust</c:v>
                </c:pt>
                <c:pt idx="8">
                  <c:v>Septembar</c:v>
                </c:pt>
                <c:pt idx="9">
                  <c:v>Oktobar</c:v>
                </c:pt>
                <c:pt idx="10">
                  <c:v>Novembar</c:v>
                </c:pt>
                <c:pt idx="11">
                  <c:v>Decembar</c:v>
                </c:pt>
              </c:strCache>
            </c:strRef>
          </c:cat>
          <c:val>
            <c:numRef>
              <c:f>Sheet1!$D$7:$O$7</c:f>
              <c:numCache>
                <c:formatCode>#,##0.0,,</c:formatCode>
                <c:ptCount val="12"/>
                <c:pt idx="0">
                  <c:v>54757461.979999989</c:v>
                </c:pt>
                <c:pt idx="1">
                  <c:v>75673443.909999996</c:v>
                </c:pt>
                <c:pt idx="2">
                  <c:v>88296245.580000013</c:v>
                </c:pt>
                <c:pt idx="3">
                  <c:v>103948239.19999999</c:v>
                </c:pt>
                <c:pt idx="4">
                  <c:v>93997829.679999992</c:v>
                </c:pt>
                <c:pt idx="5">
                  <c:v>99561632.659999996</c:v>
                </c:pt>
                <c:pt idx="6">
                  <c:v>122021331.04999998</c:v>
                </c:pt>
                <c:pt idx="7">
                  <c:v>125053427.64999999</c:v>
                </c:pt>
                <c:pt idx="8">
                  <c:v>116342017.78000002</c:v>
                </c:pt>
                <c:pt idx="9">
                  <c:v>117283627.60000001</c:v>
                </c:pt>
                <c:pt idx="10">
                  <c:v>95781753.159999996</c:v>
                </c:pt>
                <c:pt idx="11">
                  <c:v>142429369.22999999</c:v>
                </c:pt>
              </c:numCache>
            </c:numRef>
          </c:val>
          <c:smooth val="1"/>
          <c:extLst>
            <c:ext xmlns:c16="http://schemas.microsoft.com/office/drawing/2014/chart" uri="{C3380CC4-5D6E-409C-BE32-E72D297353CC}">
              <c16:uniqueId val="{00000004-4A45-4DC4-9E99-23AA609DED80}"/>
            </c:ext>
          </c:extLst>
        </c:ser>
        <c:dLbls>
          <c:showLegendKey val="0"/>
          <c:showVal val="0"/>
          <c:showCatName val="0"/>
          <c:showSerName val="0"/>
          <c:showPercent val="0"/>
          <c:showBubbleSize val="0"/>
        </c:dLbls>
        <c:smooth val="0"/>
        <c:axId val="102362496"/>
        <c:axId val="102364288"/>
      </c:lineChart>
      <c:catAx>
        <c:axId val="102362496"/>
        <c:scaling>
          <c:orientation val="minMax"/>
        </c:scaling>
        <c:delete val="0"/>
        <c:axPos val="b"/>
        <c:numFmt formatCode="General" sourceLinked="0"/>
        <c:majorTickMark val="out"/>
        <c:minorTickMark val="none"/>
        <c:tickLblPos val="nextTo"/>
        <c:txPr>
          <a:bodyPr/>
          <a:lstStyle/>
          <a:p>
            <a:pPr>
              <a:defRPr sz="800"/>
            </a:pPr>
            <a:endParaRPr lang="sr-Latn-RS"/>
          </a:p>
        </c:txPr>
        <c:crossAx val="102364288"/>
        <c:crosses val="autoZero"/>
        <c:auto val="1"/>
        <c:lblAlgn val="ctr"/>
        <c:lblOffset val="100"/>
        <c:noMultiLvlLbl val="0"/>
      </c:catAx>
      <c:valAx>
        <c:axId val="102364288"/>
        <c:scaling>
          <c:orientation val="minMax"/>
          <c:max val="130000000"/>
          <c:min val="50000000"/>
        </c:scaling>
        <c:delete val="0"/>
        <c:axPos val="l"/>
        <c:numFmt formatCode="#,##0.0,," sourceLinked="1"/>
        <c:majorTickMark val="out"/>
        <c:minorTickMark val="none"/>
        <c:tickLblPos val="nextTo"/>
        <c:txPr>
          <a:bodyPr/>
          <a:lstStyle/>
          <a:p>
            <a:pPr>
              <a:defRPr sz="800"/>
            </a:pPr>
            <a:endParaRPr lang="sr-Latn-RS"/>
          </a:p>
        </c:txPr>
        <c:crossAx val="102362496"/>
        <c:crosses val="autoZero"/>
        <c:crossBetween val="between"/>
      </c:valAx>
    </c:plotArea>
    <c:legend>
      <c:legendPos val="r"/>
      <c:layout>
        <c:manualLayout>
          <c:xMode val="edge"/>
          <c:yMode val="edge"/>
          <c:x val="0.69719831223630324"/>
          <c:y val="0.63831291921843114"/>
          <c:w val="0.24343466560350838"/>
          <c:h val="0.21760170603674542"/>
        </c:manualLayout>
      </c:layout>
      <c:overlay val="0"/>
      <c:txPr>
        <a:bodyPr/>
        <a:lstStyle/>
        <a:p>
          <a:pPr>
            <a:defRPr sz="800"/>
          </a:pPr>
          <a:endParaRPr lang="sr-Latn-RS"/>
        </a:p>
      </c:txPr>
    </c:legend>
    <c:plotVisOnly val="1"/>
    <c:dispBlanksAs val="gap"/>
    <c:showDLblsOverMax val="0"/>
  </c:chart>
  <c:printSettings>
    <c:headerFooter/>
    <c:pageMargins b="0.75000000000001321" l="0.70000000000000062" r="0.70000000000000062" t="0.750000000000013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r-Latn-R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vi-VN" sz="1000"/>
              <a:t>Poređenje scenarija - sa i bez autoputa</a:t>
            </a:r>
          </a:p>
        </c:rich>
      </c:tx>
      <c:overlay val="1"/>
    </c:title>
    <c:autoTitleDeleted val="0"/>
    <c:plotArea>
      <c:layout>
        <c:manualLayout>
          <c:layoutTarget val="inner"/>
          <c:xMode val="edge"/>
          <c:yMode val="edge"/>
          <c:x val="8.2878743296101454E-2"/>
          <c:y val="5.6030183727034118E-2"/>
          <c:w val="0.88495509810152662"/>
          <c:h val="0.89719889180519163"/>
        </c:manualLayout>
      </c:layout>
      <c:lineChart>
        <c:grouping val="standard"/>
        <c:varyColors val="0"/>
        <c:ser>
          <c:idx val="0"/>
          <c:order val="0"/>
          <c:tx>
            <c:strRef>
              <c:f>Sheet3!$C$5</c:f>
              <c:strCache>
                <c:ptCount val="1"/>
                <c:pt idx="0">
                  <c:v>Deficit - osnovni scenario</c:v>
                </c:pt>
              </c:strCache>
            </c:strRef>
          </c:tx>
          <c:spPr>
            <a:ln>
              <a:solidFill>
                <a:schemeClr val="tx2">
                  <a:lumMod val="75000"/>
                </a:schemeClr>
              </a:solidFill>
            </a:ln>
          </c:spPr>
          <c:marker>
            <c:symbol val="none"/>
          </c:marker>
          <c:cat>
            <c:strRef>
              <c:f>Sheet3!$D$4:$G$4</c:f>
              <c:strCache>
                <c:ptCount val="4"/>
                <c:pt idx="0">
                  <c:v>2014 - procjena</c:v>
                </c:pt>
                <c:pt idx="1">
                  <c:v>2015</c:v>
                </c:pt>
                <c:pt idx="2">
                  <c:v>2016</c:v>
                </c:pt>
                <c:pt idx="3">
                  <c:v>2017</c:v>
                </c:pt>
              </c:strCache>
            </c:strRef>
          </c:cat>
          <c:val>
            <c:numRef>
              <c:f>Sheet3!$D$5:$G$5</c:f>
              <c:numCache>
                <c:formatCode>#,##0.0,,</c:formatCode>
                <c:ptCount val="4"/>
                <c:pt idx="0">
                  <c:v>-26424601.993229389</c:v>
                </c:pt>
                <c:pt idx="1">
                  <c:v>-24569497.372829676</c:v>
                </c:pt>
                <c:pt idx="2">
                  <c:v>33498994.005818129</c:v>
                </c:pt>
                <c:pt idx="3">
                  <c:v>103834080.12588143</c:v>
                </c:pt>
              </c:numCache>
            </c:numRef>
          </c:val>
          <c:smooth val="1"/>
          <c:extLst>
            <c:ext xmlns:c16="http://schemas.microsoft.com/office/drawing/2014/chart" uri="{C3380CC4-5D6E-409C-BE32-E72D297353CC}">
              <c16:uniqueId val="{00000000-5834-4902-A523-BF8AC6F9B3B6}"/>
            </c:ext>
          </c:extLst>
        </c:ser>
        <c:ser>
          <c:idx val="1"/>
          <c:order val="1"/>
          <c:tx>
            <c:strRef>
              <c:f>Sheet3!$C$6</c:f>
              <c:strCache>
                <c:ptCount val="1"/>
                <c:pt idx="0">
                  <c:v>Deficit - scenario sa auto putem</c:v>
                </c:pt>
              </c:strCache>
            </c:strRef>
          </c:tx>
          <c:spPr>
            <a:ln>
              <a:solidFill>
                <a:srgbClr val="910000"/>
              </a:solidFill>
              <a:prstDash val="sysDot"/>
            </a:ln>
          </c:spPr>
          <c:marker>
            <c:symbol val="none"/>
          </c:marker>
          <c:cat>
            <c:strRef>
              <c:f>Sheet3!$D$4:$G$4</c:f>
              <c:strCache>
                <c:ptCount val="4"/>
                <c:pt idx="0">
                  <c:v>2014 - procjena</c:v>
                </c:pt>
                <c:pt idx="1">
                  <c:v>2015</c:v>
                </c:pt>
                <c:pt idx="2">
                  <c:v>2016</c:v>
                </c:pt>
                <c:pt idx="3">
                  <c:v>2017</c:v>
                </c:pt>
              </c:strCache>
            </c:strRef>
          </c:cat>
          <c:val>
            <c:numRef>
              <c:f>Sheet3!$D$6:$G$6</c:f>
              <c:numCache>
                <c:formatCode>#,##0.0,,</c:formatCode>
                <c:ptCount val="4"/>
                <c:pt idx="0">
                  <c:v>-51424601.993229389</c:v>
                </c:pt>
                <c:pt idx="1">
                  <c:v>-149569497.37282968</c:v>
                </c:pt>
                <c:pt idx="2">
                  <c:v>-191501005.99418187</c:v>
                </c:pt>
                <c:pt idx="3">
                  <c:v>-221165919.87411857</c:v>
                </c:pt>
              </c:numCache>
            </c:numRef>
          </c:val>
          <c:smooth val="1"/>
          <c:extLst>
            <c:ext xmlns:c16="http://schemas.microsoft.com/office/drawing/2014/chart" uri="{C3380CC4-5D6E-409C-BE32-E72D297353CC}">
              <c16:uniqueId val="{00000001-5834-4902-A523-BF8AC6F9B3B6}"/>
            </c:ext>
          </c:extLst>
        </c:ser>
        <c:dLbls>
          <c:showLegendKey val="0"/>
          <c:showVal val="0"/>
          <c:showCatName val="0"/>
          <c:showSerName val="0"/>
          <c:showPercent val="0"/>
          <c:showBubbleSize val="0"/>
        </c:dLbls>
        <c:smooth val="0"/>
        <c:axId val="107355136"/>
        <c:axId val="107361024"/>
      </c:lineChart>
      <c:catAx>
        <c:axId val="107355136"/>
        <c:scaling>
          <c:orientation val="minMax"/>
        </c:scaling>
        <c:delete val="0"/>
        <c:axPos val="b"/>
        <c:numFmt formatCode="General" sourceLinked="0"/>
        <c:majorTickMark val="out"/>
        <c:minorTickMark val="none"/>
        <c:tickLblPos val="nextTo"/>
        <c:txPr>
          <a:bodyPr/>
          <a:lstStyle/>
          <a:p>
            <a:pPr>
              <a:defRPr sz="800"/>
            </a:pPr>
            <a:endParaRPr lang="sr-Latn-RS"/>
          </a:p>
        </c:txPr>
        <c:crossAx val="107361024"/>
        <c:crosses val="autoZero"/>
        <c:auto val="1"/>
        <c:lblAlgn val="ctr"/>
        <c:lblOffset val="100"/>
        <c:noMultiLvlLbl val="0"/>
      </c:catAx>
      <c:valAx>
        <c:axId val="107361024"/>
        <c:scaling>
          <c:orientation val="minMax"/>
        </c:scaling>
        <c:delete val="0"/>
        <c:axPos val="l"/>
        <c:numFmt formatCode="#,##0.0,," sourceLinked="1"/>
        <c:majorTickMark val="out"/>
        <c:minorTickMark val="none"/>
        <c:tickLblPos val="nextTo"/>
        <c:txPr>
          <a:bodyPr/>
          <a:lstStyle/>
          <a:p>
            <a:pPr>
              <a:defRPr sz="700"/>
            </a:pPr>
            <a:endParaRPr lang="sr-Latn-RS"/>
          </a:p>
        </c:txPr>
        <c:crossAx val="107355136"/>
        <c:crosses val="autoZero"/>
        <c:crossBetween val="between"/>
      </c:valAx>
    </c:plotArea>
    <c:legend>
      <c:legendPos val="r"/>
      <c:layout>
        <c:manualLayout>
          <c:xMode val="edge"/>
          <c:yMode val="edge"/>
          <c:x val="0.65491661075997865"/>
          <c:y val="0.55478783902012263"/>
          <c:w val="0.28062788115611131"/>
          <c:h val="0.14506780402450001"/>
        </c:manualLayout>
      </c:layout>
      <c:overlay val="0"/>
      <c:txPr>
        <a:bodyPr/>
        <a:lstStyle/>
        <a:p>
          <a:pPr>
            <a:defRPr sz="800"/>
          </a:pPr>
          <a:endParaRPr lang="sr-Latn-RS"/>
        </a:p>
      </c:txPr>
    </c:legend>
    <c:plotVisOnly val="1"/>
    <c:dispBlanksAs val="gap"/>
    <c:showDLblsOverMax val="0"/>
  </c:chart>
  <c:printSettings>
    <c:headerFooter/>
    <c:pageMargins b="0.75000000000001321" l="0.70000000000000062" r="0.70000000000000062" t="0.75000000000001321" header="0.30000000000000032" footer="0.30000000000000032"/>
    <c:pageSetup/>
  </c:printSettings>
</c:chartSpace>
</file>

<file path=xl/ctrlProps/ctrlProp1.xml><?xml version="1.0" encoding="utf-8"?>
<formControlPr xmlns="http://schemas.microsoft.com/office/spreadsheetml/2009/9/main" objectType="List" dx="16" fmlaLink="MasterSheet!$A$1" fmlaRange="MasterSheet!$B$27:$B$28" noThreeD="1" sel="2" val="0"/>
</file>

<file path=xl/ctrlProps/ctrlProp2.xml><?xml version="1.0" encoding="utf-8"?>
<formControlPr xmlns="http://schemas.microsoft.com/office/spreadsheetml/2009/9/main" objectType="List" dx="16" fmlaLink="MasterSheet!$A$1" fmlaRange="MasterSheet!$B$27:$B$28" noThreeD="1" sel="2"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49</xdr:col>
      <xdr:colOff>392206</xdr:colOff>
      <xdr:row>36</xdr:row>
      <xdr:rowOff>115261</xdr:rowOff>
    </xdr:from>
    <xdr:to>
      <xdr:col>56</xdr:col>
      <xdr:colOff>274545</xdr:colOff>
      <xdr:row>50</xdr:row>
      <xdr:rowOff>78441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421821</xdr:colOff>
      <xdr:row>18</xdr:row>
      <xdr:rowOff>81643</xdr:rowOff>
    </xdr:from>
    <xdr:to>
      <xdr:col>56</xdr:col>
      <xdr:colOff>517071</xdr:colOff>
      <xdr:row>30</xdr:row>
      <xdr:rowOff>171291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2</xdr:col>
          <xdr:colOff>1247775</xdr:colOff>
          <xdr:row>9</xdr:row>
          <xdr:rowOff>104775</xdr:rowOff>
        </xdr:to>
        <xdr:sp macro="" textlink="">
          <xdr:nvSpPr>
            <xdr:cNvPr id="47105" name="List Box 1" hidden="1">
              <a:extLst>
                <a:ext uri="{63B3BB69-23CF-44E3-9099-C40C66FF867C}">
                  <a14:compatExt spid="_x0000_s47105"/>
                </a:ext>
                <a:ext uri="{FF2B5EF4-FFF2-40B4-BE49-F238E27FC236}">
                  <a16:creationId xmlns:a16="http://schemas.microsoft.com/office/drawing/2014/main" id="{00000000-0008-0000-0000-000001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47</xdr:col>
      <xdr:colOff>392206</xdr:colOff>
      <xdr:row>32</xdr:row>
      <xdr:rowOff>0</xdr:rowOff>
    </xdr:from>
    <xdr:to>
      <xdr:col>54</xdr:col>
      <xdr:colOff>274545</xdr:colOff>
      <xdr:row>36</xdr:row>
      <xdr:rowOff>78441</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421821</xdr:colOff>
      <xdr:row>18</xdr:row>
      <xdr:rowOff>81643</xdr:rowOff>
    </xdr:from>
    <xdr:to>
      <xdr:col>54</xdr:col>
      <xdr:colOff>517071</xdr:colOff>
      <xdr:row>31</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2</xdr:col>
          <xdr:colOff>1247775</xdr:colOff>
          <xdr:row>9</xdr:row>
          <xdr:rowOff>104775</xdr:rowOff>
        </xdr:to>
        <xdr:sp macro="" textlink="">
          <xdr:nvSpPr>
            <xdr:cNvPr id="48129" name="List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10</xdr:col>
      <xdr:colOff>342900</xdr:colOff>
      <xdr:row>2</xdr:row>
      <xdr:rowOff>19050</xdr:rowOff>
    </xdr:from>
    <xdr:ext cx="3943350"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9972675" y="342900"/>
          <a:ext cx="394335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22</xdr:col>
      <xdr:colOff>57150</xdr:colOff>
      <xdr:row>2</xdr:row>
      <xdr:rowOff>19050</xdr:rowOff>
    </xdr:from>
    <xdr:ext cx="2621230" cy="953466"/>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276350" y="342900"/>
          <a:ext cx="2621230" cy="9534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b="0" i="0" u="none" strike="noStrike">
              <a:solidFill>
                <a:schemeClr val="tx1"/>
              </a:solidFill>
              <a:latin typeface="+mn-lt"/>
              <a:ea typeface="+mn-ea"/>
              <a:cs typeface="+mn-cs"/>
            </a:rPr>
            <a:t>Porez na dohodak fizičkih lica  11%</a:t>
          </a:r>
          <a:r>
            <a:rPr lang="en-US"/>
            <a:t> </a:t>
          </a:r>
          <a:endParaRPr lang="x-none"/>
        </a:p>
        <a:p>
          <a:r>
            <a:rPr lang="en-US" sz="1100" b="0" i="0" u="none" strike="noStrike">
              <a:solidFill>
                <a:schemeClr val="tx1"/>
              </a:solidFill>
              <a:latin typeface="+mn-lt"/>
              <a:ea typeface="+mn-ea"/>
              <a:cs typeface="+mn-cs"/>
            </a:rPr>
            <a:t>Porez na promet nepokretnosti  10%</a:t>
          </a:r>
          <a:r>
            <a:rPr lang="en-US"/>
            <a:t> </a:t>
          </a:r>
          <a:endParaRPr lang="x-none"/>
        </a:p>
        <a:p>
          <a:r>
            <a:rPr lang="en-US" sz="1100" b="0" i="0" u="none" strike="noStrike">
              <a:solidFill>
                <a:schemeClr val="tx1"/>
              </a:solidFill>
              <a:latin typeface="+mn-lt"/>
              <a:ea typeface="+mn-ea"/>
              <a:cs typeface="+mn-cs"/>
            </a:rPr>
            <a:t>Porez na upotrebu motornih vozila   100%</a:t>
          </a:r>
          <a:r>
            <a:rPr lang="en-US"/>
            <a:t> </a:t>
          </a:r>
          <a:endParaRPr lang="x-none"/>
        </a:p>
        <a:p>
          <a:r>
            <a:rPr lang="en-US" sz="1100" b="0" i="0" u="none" strike="noStrike">
              <a:solidFill>
                <a:schemeClr val="tx1"/>
              </a:solidFill>
              <a:latin typeface="+mn-lt"/>
              <a:ea typeface="+mn-ea"/>
              <a:cs typeface="+mn-cs"/>
            </a:rPr>
            <a:t>Naknade za igre na sreću   40%</a:t>
          </a:r>
          <a:r>
            <a:rPr lang="en-US"/>
            <a:t> </a:t>
          </a:r>
          <a:endParaRPr lang="x-none"/>
        </a:p>
        <a:p>
          <a:r>
            <a:rPr lang="en-US" sz="1100" b="1" i="0" u="none" strike="noStrike">
              <a:solidFill>
                <a:schemeClr val="tx1"/>
              </a:solidFill>
              <a:latin typeface="+mn-lt"/>
              <a:ea typeface="+mn-ea"/>
              <a:cs typeface="+mn-cs"/>
            </a:rPr>
            <a:t>UKUPNO</a:t>
          </a:r>
          <a:r>
            <a:rPr lang="en-US"/>
            <a:t> </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600075</xdr:colOff>
      <xdr:row>15</xdr:row>
      <xdr:rowOff>85725</xdr:rowOff>
    </xdr:from>
    <xdr:to>
      <xdr:col>15</xdr:col>
      <xdr:colOff>200025</xdr:colOff>
      <xdr:row>32</xdr:row>
      <xdr:rowOff>76200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0.02785</cdr:x>
      <cdr:y>0.42708</cdr:y>
    </cdr:from>
    <cdr:to>
      <cdr:x>0.1962</cdr:x>
      <cdr:y>0.56597</cdr:y>
    </cdr:to>
    <cdr:sp macro="" textlink="">
      <cdr:nvSpPr>
        <cdr:cNvPr id="2" name="TextBox 1"/>
        <cdr:cNvSpPr txBox="1"/>
      </cdr:nvSpPr>
      <cdr:spPr>
        <a:xfrm xmlns:a="http://schemas.openxmlformats.org/drawingml/2006/main">
          <a:off x="209550" y="1171575"/>
          <a:ext cx="1266826" cy="381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sr-Latn-ME" sz="800" i="1"/>
            <a:t>Ostvarenje</a:t>
          </a:r>
          <a:r>
            <a:rPr lang="sr-Latn-ME" sz="800" i="1" baseline="0"/>
            <a:t> prihoda </a:t>
          </a:r>
        </a:p>
        <a:p xmlns:a="http://schemas.openxmlformats.org/drawingml/2006/main">
          <a:pPr algn="r"/>
          <a:r>
            <a:rPr lang="sr-Latn-ME" sz="800" i="1" baseline="0"/>
            <a:t>u prvom kvartalu 2014.</a:t>
          </a:r>
          <a:endParaRPr lang="en-US" sz="800" i="1"/>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133350</xdr:colOff>
      <xdr:row>9</xdr:row>
      <xdr:rowOff>142875</xdr:rowOff>
    </xdr:from>
    <xdr:to>
      <xdr:col>10</xdr:col>
      <xdr:colOff>438150</xdr:colOff>
      <xdr:row>26</xdr:row>
      <xdr:rowOff>133350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-1</xdr:rowOff>
    </xdr:from>
    <xdr:to>
      <xdr:col>16</xdr:col>
      <xdr:colOff>216834</xdr:colOff>
      <xdr:row>40</xdr:row>
      <xdr:rowOff>71437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239125" y="166687"/>
          <a:ext cx="5074584" cy="6822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r-Latn-ME" sz="1100" b="1">
              <a:solidFill>
                <a:schemeClr val="dk1"/>
              </a:solidFill>
              <a:latin typeface="+mn-lt"/>
              <a:ea typeface="+mn-ea"/>
              <a:cs typeface="+mn-cs"/>
            </a:rPr>
            <a:t>ZAKON O BUDŽETU</a:t>
          </a:r>
          <a:r>
            <a:rPr lang="sr-Latn-ME" sz="1100" b="1" baseline="0">
              <a:solidFill>
                <a:schemeClr val="dk1"/>
              </a:solidFill>
              <a:latin typeface="+mn-lt"/>
              <a:ea typeface="+mn-ea"/>
              <a:cs typeface="+mn-cs"/>
            </a:rPr>
            <a:t> I FISKALNOJ ODGOVORNOSTI</a:t>
          </a:r>
        </a:p>
        <a:p>
          <a:pPr algn="ctr"/>
          <a:r>
            <a:rPr lang="sr-Latn-ME" sz="1100" b="1" baseline="0">
              <a:solidFill>
                <a:schemeClr val="dk1"/>
              </a:solidFill>
              <a:latin typeface="+mn-lt"/>
              <a:ea typeface="+mn-ea"/>
              <a:cs typeface="+mn-cs"/>
            </a:rPr>
            <a:t>...</a:t>
          </a:r>
        </a:p>
        <a:p>
          <a:pPr algn="ctr"/>
          <a:endParaRPr lang="sr-Latn-ME" sz="1100" b="1" baseline="0">
            <a:solidFill>
              <a:schemeClr val="dk1"/>
            </a:solidFill>
            <a:latin typeface="+mn-lt"/>
            <a:ea typeface="+mn-ea"/>
            <a:cs typeface="+mn-cs"/>
          </a:endParaRPr>
        </a:p>
        <a:p>
          <a:pPr algn="ctr"/>
          <a:r>
            <a:rPr lang="en-US" sz="1100" b="1">
              <a:solidFill>
                <a:schemeClr val="dk1"/>
              </a:solidFill>
              <a:latin typeface="+mn-lt"/>
              <a:ea typeface="+mn-ea"/>
              <a:cs typeface="+mn-cs"/>
            </a:rPr>
            <a:t>Suficit, od</a:t>
          </a:r>
          <a:r>
            <a:rPr lang="sr-Latn-ME" sz="1100" b="1">
              <a:solidFill>
                <a:schemeClr val="dk1"/>
              </a:solidFill>
              <a:latin typeface="+mn-lt"/>
              <a:ea typeface="+mn-ea"/>
              <a:cs typeface="+mn-cs"/>
            </a:rPr>
            <a:t>N</a:t>
          </a:r>
          <a:r>
            <a:rPr lang="en-US" sz="1100" b="1">
              <a:solidFill>
                <a:schemeClr val="dk1"/>
              </a:solidFill>
              <a:latin typeface="+mn-lt"/>
              <a:ea typeface="+mn-ea"/>
              <a:cs typeface="+mn-cs"/>
            </a:rPr>
            <a:t>osno deficit</a:t>
          </a:r>
        </a:p>
        <a:p>
          <a:pPr algn="ctr"/>
          <a:r>
            <a:rPr lang="en-US" sz="1100" b="1">
              <a:solidFill>
                <a:schemeClr val="dk1"/>
              </a:solidFill>
              <a:latin typeface="+mn-lt"/>
              <a:ea typeface="+mn-ea"/>
              <a:cs typeface="+mn-cs"/>
            </a:rPr>
            <a:t>Član 14</a:t>
          </a:r>
        </a:p>
        <a:p>
          <a:endParaRPr lang="en-US" sz="1100">
            <a:solidFill>
              <a:schemeClr val="dk1"/>
            </a:solidFill>
            <a:latin typeface="+mn-lt"/>
            <a:ea typeface="+mn-ea"/>
            <a:cs typeface="+mn-cs"/>
          </a:endParaRPr>
        </a:p>
        <a:p>
          <a:r>
            <a:rPr lang="en-US" sz="1100">
              <a:solidFill>
                <a:schemeClr val="dk1"/>
              </a:solidFill>
              <a:latin typeface="+mn-lt"/>
              <a:ea typeface="+mn-ea"/>
              <a:cs typeface="+mn-cs"/>
            </a:rPr>
            <a:t>Budžetski gotovinski suficit, odnosno deficit predstavlja razliku primitaka i izdataka, pri čemu se primici umanjuju za pozajmice, primljene transfere, primitke od prodaje imovine i primitke od povraćaja datih pozajmica i kredita, a izdaci za otplatu glavnice u zemlji i inostranstvu po osnovu duga nastalog uzimanjem kredita ili emitovanjem hartija od vrijednosti, izdatke za kupovinu hartija od vrijednosti i izdatke po osnovu datih pozajmica i kredita, koji predstavljaju transakcije finansiranja.</a:t>
          </a:r>
        </a:p>
        <a:p>
          <a:endParaRPr lang="en-US" sz="1100">
            <a:solidFill>
              <a:schemeClr val="dk1"/>
            </a:solidFill>
            <a:latin typeface="+mn-lt"/>
            <a:ea typeface="+mn-ea"/>
            <a:cs typeface="+mn-cs"/>
          </a:endParaRPr>
        </a:p>
        <a:p>
          <a:r>
            <a:rPr lang="en-US" sz="1100">
              <a:solidFill>
                <a:schemeClr val="dk1"/>
              </a:solidFill>
              <a:latin typeface="+mn-lt"/>
              <a:ea typeface="+mn-ea"/>
              <a:cs typeface="+mn-cs"/>
            </a:rPr>
            <a:t>Budžetski gotovinski suficit, odnosno deficit koriguje se za iznos promjene neto obaveza iz prethodnih godina koje nemaju karakter pozajmica.</a:t>
          </a:r>
        </a:p>
        <a:p>
          <a:endParaRPr lang="en-US" sz="1100">
            <a:solidFill>
              <a:schemeClr val="dk1"/>
            </a:solidFill>
            <a:latin typeface="+mn-lt"/>
            <a:ea typeface="+mn-ea"/>
            <a:cs typeface="+mn-cs"/>
          </a:endParaRPr>
        </a:p>
        <a:p>
          <a:r>
            <a:rPr lang="en-US" sz="1100">
              <a:solidFill>
                <a:schemeClr val="dk1"/>
              </a:solidFill>
              <a:latin typeface="+mn-lt"/>
              <a:ea typeface="+mn-ea"/>
              <a:cs typeface="+mn-cs"/>
            </a:rPr>
            <a:t>Promjena neto obaveza iz prethodnih godina prikazuje se kao razlika stanja obaveza na početku i na kraju fiskalnog perioda.</a:t>
          </a:r>
          <a:endParaRPr lang="sr-Latn-ME" sz="1100">
            <a:solidFill>
              <a:schemeClr val="dk1"/>
            </a:solidFill>
            <a:latin typeface="+mn-lt"/>
            <a:ea typeface="+mn-ea"/>
            <a:cs typeface="+mn-cs"/>
          </a:endParaRPr>
        </a:p>
        <a:p>
          <a:pPr algn="ctr"/>
          <a:r>
            <a:rPr lang="sr-Latn-ME" sz="1100">
              <a:solidFill>
                <a:schemeClr val="dk1"/>
              </a:solidFill>
              <a:latin typeface="+mn-lt"/>
              <a:ea typeface="+mn-ea"/>
              <a:cs typeface="+mn-cs"/>
            </a:rPr>
            <a:t>....</a:t>
          </a:r>
        </a:p>
        <a:p>
          <a:pPr algn="ctr"/>
          <a:endParaRPr lang="sr-Latn-ME" sz="1100">
            <a:solidFill>
              <a:schemeClr val="dk1"/>
            </a:solidFill>
            <a:latin typeface="+mn-lt"/>
            <a:ea typeface="+mn-ea"/>
            <a:cs typeface="+mn-cs"/>
          </a:endParaRPr>
        </a:p>
        <a:p>
          <a:pPr algn="ctr"/>
          <a:r>
            <a:rPr lang="en-US" sz="1100" b="1">
              <a:solidFill>
                <a:schemeClr val="dk1"/>
              </a:solidFill>
              <a:latin typeface="+mn-lt"/>
              <a:ea typeface="+mn-ea"/>
              <a:cs typeface="+mn-cs"/>
            </a:rPr>
            <a:t>Fiskalno pravilo za organe lokalne uprave</a:t>
          </a:r>
        </a:p>
        <a:p>
          <a:pPr algn="ctr"/>
          <a:r>
            <a:rPr lang="en-US" sz="1100" b="1">
              <a:solidFill>
                <a:schemeClr val="dk1"/>
              </a:solidFill>
              <a:latin typeface="+mn-lt"/>
              <a:ea typeface="+mn-ea"/>
              <a:cs typeface="+mn-cs"/>
            </a:rPr>
            <a:t>Član 27</a:t>
          </a:r>
        </a:p>
        <a:p>
          <a:r>
            <a:rPr lang="en-US" sz="1100">
              <a:solidFill>
                <a:schemeClr val="dk1"/>
              </a:solidFill>
              <a:latin typeface="+mn-lt"/>
              <a:ea typeface="+mn-ea"/>
              <a:cs typeface="+mn-cs"/>
            </a:rPr>
            <a:t>Deficit budžeta opštine u određenoj godini ne može biti veći od 10% njenih prihoda u toj godini.</a:t>
          </a:r>
          <a:endParaRPr lang="sr-Latn-ME"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Izuzetno od stava 1 ovog člana, opština može da podnese zahtjev Ministarstvu finansija za odobrenje prekoračenja limita, odnosno budžetskog deficita iznad navedenog nivoa, najkasnije do 15. oktobra tekuće za narednu godinu, samo ako prekoračenje ima za cilj finansiranje kapitalnih izdataka.</a:t>
          </a:r>
          <a:endParaRPr lang="sr-Latn-ME"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Ministarstvo finansija je dužno da najkasnije do 31. oktobra opštini odgovori na zahtjev za prekoračenje limita.</a:t>
          </a:r>
          <a:endParaRPr lang="sr-Latn-ME"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Ministarstvo finansija je dužno da opštini obustavi prenos pripadajućeg dijela sredstava iz budžeta države za iznos prekoračenja limita budžetskog deficita, izvršenog bez odobrenja iz stava 2 ovog člana.</a:t>
          </a:r>
          <a:endParaRPr lang="sr-Latn-ME" sz="1100">
            <a:solidFill>
              <a:schemeClr val="dk1"/>
            </a:solidFill>
            <a:latin typeface="+mn-lt"/>
            <a:ea typeface="+mn-ea"/>
            <a:cs typeface="+mn-cs"/>
          </a:endParaRPr>
        </a:p>
        <a:p>
          <a:pPr algn="ctr"/>
          <a:r>
            <a:rPr lang="sr-Latn-ME" sz="1100">
              <a:solidFill>
                <a:schemeClr val="dk1"/>
              </a:solidFill>
              <a:latin typeface="+mn-lt"/>
              <a:ea typeface="+mn-ea"/>
              <a:cs typeface="+mn-cs"/>
            </a:rPr>
            <a:t>...</a:t>
          </a:r>
          <a:endParaRPr lang="en-US" sz="1100">
            <a:solidFill>
              <a:schemeClr val="dk1"/>
            </a:solidFill>
            <a:latin typeface="+mn-lt"/>
            <a:ea typeface="+mn-ea"/>
            <a:cs typeface="+mn-cs"/>
          </a:endParaRPr>
        </a:p>
        <a:p>
          <a:pPr algn="ctr"/>
          <a:endParaRPr lang="sr-Latn-ME" sz="1100">
            <a:solidFill>
              <a:schemeClr val="dk1"/>
            </a:solidFill>
            <a:latin typeface="+mn-lt"/>
            <a:ea typeface="+mn-ea"/>
            <a:cs typeface="+mn-cs"/>
          </a:endParaRPr>
        </a:p>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40481</xdr:colOff>
      <xdr:row>0</xdr:row>
      <xdr:rowOff>154781</xdr:rowOff>
    </xdr:from>
    <xdr:to>
      <xdr:col>17</xdr:col>
      <xdr:colOff>221456</xdr:colOff>
      <xdr:row>25</xdr:row>
      <xdr:rowOff>44823</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8881922" y="154781"/>
          <a:ext cx="5021916" cy="3946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r-Latn-ME" sz="1100" b="1">
              <a:solidFill>
                <a:schemeClr val="dk1"/>
              </a:solidFill>
              <a:latin typeface="+mn-lt"/>
              <a:ea typeface="+mn-ea"/>
              <a:cs typeface="+mn-cs"/>
            </a:rPr>
            <a:t>ZAKON</a:t>
          </a:r>
          <a:r>
            <a:rPr lang="sr-Latn-ME" sz="1100" b="1" baseline="0">
              <a:solidFill>
                <a:schemeClr val="dk1"/>
              </a:solidFill>
              <a:latin typeface="+mn-lt"/>
              <a:ea typeface="+mn-ea"/>
              <a:cs typeface="+mn-cs"/>
            </a:rPr>
            <a:t> O FINANSIRANJU LOKALNIH SAMOUPRAVA</a:t>
          </a:r>
        </a:p>
        <a:p>
          <a:pPr algn="ctr"/>
          <a:r>
            <a:rPr lang="sr-Latn-ME" sz="1100" b="1" baseline="0">
              <a:solidFill>
                <a:schemeClr val="dk1"/>
              </a:solidFill>
              <a:latin typeface="+mn-lt"/>
              <a:ea typeface="+mn-ea"/>
              <a:cs typeface="+mn-cs"/>
            </a:rPr>
            <a:t>...</a:t>
          </a:r>
        </a:p>
        <a:p>
          <a:pPr algn="ctr"/>
          <a:endParaRPr lang="sr-Latn-ME" sz="1100" b="1">
            <a:solidFill>
              <a:schemeClr val="dk1"/>
            </a:solidFill>
            <a:latin typeface="+mn-lt"/>
            <a:ea typeface="+mn-ea"/>
            <a:cs typeface="+mn-cs"/>
          </a:endParaRPr>
        </a:p>
        <a:p>
          <a:pPr algn="ctr"/>
          <a:r>
            <a:rPr lang="en-US" sz="1100" b="1">
              <a:solidFill>
                <a:schemeClr val="dk1"/>
              </a:solidFill>
              <a:latin typeface="+mn-lt"/>
              <a:ea typeface="+mn-ea"/>
              <a:cs typeface="+mn-cs"/>
            </a:rPr>
            <a:t>Član 27</a:t>
          </a:r>
        </a:p>
        <a:p>
          <a:endParaRPr lang="en-US" sz="1100">
            <a:solidFill>
              <a:schemeClr val="dk1"/>
            </a:solidFill>
            <a:latin typeface="+mn-lt"/>
            <a:ea typeface="+mn-ea"/>
            <a:cs typeface="+mn-cs"/>
          </a:endParaRPr>
        </a:p>
        <a:p>
          <a:r>
            <a:rPr lang="en-US" sz="1100">
              <a:solidFill>
                <a:schemeClr val="dk1"/>
              </a:solidFill>
              <a:latin typeface="+mn-lt"/>
              <a:ea typeface="+mn-ea"/>
              <a:cs typeface="+mn-cs"/>
            </a:rPr>
            <a:t>Primici i izdaci budžeta opštine moraju da budu uravnoteženi.</a:t>
          </a:r>
        </a:p>
        <a:p>
          <a:endParaRPr lang="en-US" sz="1100">
            <a:solidFill>
              <a:schemeClr val="dk1"/>
            </a:solidFill>
            <a:latin typeface="+mn-lt"/>
            <a:ea typeface="+mn-ea"/>
            <a:cs typeface="+mn-cs"/>
          </a:endParaRPr>
        </a:p>
        <a:p>
          <a:r>
            <a:rPr lang="en-US" sz="1100">
              <a:solidFill>
                <a:schemeClr val="dk1"/>
              </a:solidFill>
              <a:latin typeface="+mn-lt"/>
              <a:ea typeface="+mn-ea"/>
              <a:cs typeface="+mn-cs"/>
            </a:rPr>
            <a:t>Opština je dužna da tekuće rashode budžeta i otplatu duga, osim otplate dugoročnih kredita, finansira iz tekućih prihoda.</a:t>
          </a:r>
        </a:p>
        <a:p>
          <a:endParaRPr lang="en-US" sz="1100">
            <a:solidFill>
              <a:schemeClr val="dk1"/>
            </a:solidFill>
            <a:latin typeface="+mn-lt"/>
            <a:ea typeface="+mn-ea"/>
            <a:cs typeface="+mn-cs"/>
          </a:endParaRPr>
        </a:p>
        <a:p>
          <a:r>
            <a:rPr lang="en-US" sz="1100">
              <a:solidFill>
                <a:schemeClr val="dk1"/>
              </a:solidFill>
              <a:latin typeface="+mn-lt"/>
              <a:ea typeface="+mn-ea"/>
              <a:cs typeface="+mn-cs"/>
            </a:rPr>
            <a:t>Tekućim rashodima iz stava 2 ovog člana smatraju se: bruto zarade i doprinosi za obavezno socijalno osiguranje, ostala lična primanja, rashodi za materijal i usluge, tekuće održavanje, kamate, renta, subvencije, ostali izdaci, transferi za socijalnu zaštitu i transferi institucijama, pojedincima, nevladinom i javnom sektoru.</a:t>
          </a:r>
        </a:p>
        <a:p>
          <a:endParaRPr lang="en-US" sz="1100">
            <a:solidFill>
              <a:schemeClr val="dk1"/>
            </a:solidFill>
            <a:latin typeface="+mn-lt"/>
            <a:ea typeface="+mn-ea"/>
            <a:cs typeface="+mn-cs"/>
          </a:endParaRPr>
        </a:p>
        <a:p>
          <a:r>
            <a:rPr lang="en-US" sz="1100">
              <a:solidFill>
                <a:schemeClr val="dk1"/>
              </a:solidFill>
              <a:latin typeface="+mn-lt"/>
              <a:ea typeface="+mn-ea"/>
              <a:cs typeface="+mn-cs"/>
            </a:rPr>
            <a:t>Tekućim prihodima iz stava 2 ovog člana smatraju se: opštinski porezi, takse i naknade, ustupljeni prihodi, sredstva Fonda i ostali prihodi u skladu sa posebnim propisom, osim naknada koje su namijenjene za komunalno opremanje građevinskog zemljišta i obezbjeđivanje alternativnog smještaja.</a:t>
          </a:r>
          <a:endParaRPr lang="sr-Latn-ME" sz="1100">
            <a:solidFill>
              <a:schemeClr val="dk1"/>
            </a:solidFill>
            <a:latin typeface="+mn-lt"/>
            <a:ea typeface="+mn-ea"/>
            <a:cs typeface="+mn-cs"/>
          </a:endParaRPr>
        </a:p>
        <a:p>
          <a:pPr algn="ctr"/>
          <a:r>
            <a:rPr lang="sr-Latn-ME" sz="1100">
              <a:solidFill>
                <a:schemeClr val="dk1"/>
              </a:solidFill>
              <a:latin typeface="+mn-lt"/>
              <a:ea typeface="+mn-ea"/>
              <a:cs typeface="+mn-cs"/>
            </a:rPr>
            <a:t>...</a:t>
          </a:r>
          <a:endParaRPr lang="en-US" sz="1100">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Z110"/>
  <sheetViews>
    <sheetView zoomScale="85" zoomScaleNormal="85" workbookViewId="0">
      <selection activeCell="AQ1" sqref="AQ1:BH1048576"/>
    </sheetView>
  </sheetViews>
  <sheetFormatPr defaultColWidth="9.140625" defaultRowHeight="12.75"/>
  <cols>
    <col min="1" max="2" width="9.140625" style="80" customWidth="1"/>
    <col min="3" max="3" width="55.85546875" style="80" bestFit="1" customWidth="1"/>
    <col min="4" max="4" width="6.5703125" style="80" hidden="1" customWidth="1"/>
    <col min="5" max="5" width="6.85546875" style="80" hidden="1" customWidth="1"/>
    <col min="6" max="6" width="7.5703125" style="80" hidden="1" customWidth="1"/>
    <col min="7" max="7" width="6.85546875" style="80" hidden="1" customWidth="1"/>
    <col min="8" max="8" width="7.5703125" style="80" hidden="1" customWidth="1"/>
    <col min="9" max="9" width="6.85546875" style="80" hidden="1" customWidth="1"/>
    <col min="10" max="10" width="7.5703125" style="80" hidden="1" customWidth="1"/>
    <col min="11" max="11" width="6.85546875" style="80" hidden="1" customWidth="1"/>
    <col min="12" max="12" width="7.5703125" style="80" hidden="1" customWidth="1"/>
    <col min="13" max="13" width="6.85546875" style="80" hidden="1" customWidth="1"/>
    <col min="14" max="14" width="7.5703125" style="80" hidden="1" customWidth="1"/>
    <col min="15" max="15" width="6.85546875" style="81" hidden="1" customWidth="1"/>
    <col min="16" max="16" width="7.7109375" style="81" hidden="1" customWidth="1"/>
    <col min="17" max="17" width="6.140625" style="80" hidden="1" customWidth="1"/>
    <col min="18" max="18" width="7.7109375" style="80" customWidth="1"/>
    <col min="19" max="19" width="7.42578125" style="80" customWidth="1"/>
    <col min="20" max="20" width="7.7109375" style="80" customWidth="1"/>
    <col min="21" max="21" width="6" style="80" customWidth="1"/>
    <col min="22" max="22" width="12.7109375" style="80" hidden="1" customWidth="1"/>
    <col min="23" max="25" width="11.7109375" style="80" hidden="1" customWidth="1"/>
    <col min="26" max="29" width="9.85546875" style="80" customWidth="1"/>
    <col min="30" max="30" width="7.7109375" style="80" hidden="1" customWidth="1"/>
    <col min="31" max="31" width="6.140625" style="80" hidden="1" customWidth="1"/>
    <col min="32" max="32" width="15" style="80" hidden="1" customWidth="1"/>
    <col min="33" max="33" width="7.7109375" style="80" bestFit="1" customWidth="1"/>
    <col min="34" max="34" width="6.140625" style="80" bestFit="1" customWidth="1"/>
    <col min="35" max="35" width="7.7109375" style="80" hidden="1" customWidth="1"/>
    <col min="36" max="36" width="6" style="80" hidden="1" customWidth="1"/>
    <col min="37" max="37" width="15" style="80" hidden="1" customWidth="1"/>
    <col min="38" max="38" width="7.7109375" style="80" bestFit="1" customWidth="1"/>
    <col min="39" max="39" width="6.140625" style="80" bestFit="1" customWidth="1"/>
    <col min="40" max="40" width="8.5703125" style="80" customWidth="1"/>
    <col min="41" max="41" width="6" style="80" bestFit="1" customWidth="1"/>
    <col min="42" max="42" width="6.85546875" style="80" customWidth="1"/>
    <col min="43" max="43" width="18.28515625" style="80" hidden="1" customWidth="1"/>
    <col min="44" max="44" width="13.85546875" style="80" hidden="1" customWidth="1"/>
    <col min="45" max="45" width="14.42578125" style="80" hidden="1" customWidth="1"/>
    <col min="46" max="46" width="13.85546875" style="80" hidden="1" customWidth="1"/>
    <col min="47" max="47" width="12.5703125" style="80" hidden="1" customWidth="1"/>
    <col min="48" max="48" width="9" style="163" hidden="1" customWidth="1"/>
    <col min="49" max="60" width="9.140625" style="80" hidden="1" customWidth="1"/>
    <col min="61" max="122" width="9.140625" style="80" customWidth="1"/>
    <col min="123" max="123" width="9.140625" style="80"/>
    <col min="124" max="124" width="15.42578125" style="80" customWidth="1"/>
    <col min="125" max="125" width="12.7109375" style="80" customWidth="1"/>
    <col min="126" max="126" width="11.85546875" style="80" customWidth="1"/>
    <col min="127" max="16384" width="9.140625" style="80"/>
  </cols>
  <sheetData>
    <row r="1" spans="1:122" ht="15" customHeight="1">
      <c r="C1" s="81"/>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1"/>
      <c r="AF1" s="81"/>
      <c r="AG1" s="81"/>
      <c r="AH1" s="81"/>
      <c r="AI1" s="81"/>
      <c r="AJ1" s="81"/>
      <c r="AK1" s="81"/>
      <c r="AL1" s="81"/>
      <c r="AM1" s="81"/>
      <c r="AN1" s="81"/>
      <c r="AO1" s="81"/>
      <c r="AP1" s="81"/>
      <c r="AQ1" s="81"/>
      <c r="AR1" s="81"/>
      <c r="AS1" s="81"/>
      <c r="AT1" s="81"/>
      <c r="AU1" s="81"/>
      <c r="AV1" s="160"/>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row>
    <row r="2" spans="1:122" ht="15" hidden="1" customHeight="1">
      <c r="C2" s="81"/>
      <c r="D2" s="82"/>
      <c r="E2" s="82"/>
      <c r="F2" s="82"/>
      <c r="G2" s="82"/>
      <c r="H2" s="82"/>
      <c r="I2" s="82"/>
      <c r="J2" s="82"/>
      <c r="K2" s="82"/>
      <c r="L2" s="82"/>
      <c r="M2" s="82"/>
      <c r="N2" s="82"/>
      <c r="O2" s="82"/>
      <c r="P2" s="82"/>
      <c r="Q2" s="82"/>
      <c r="R2" s="119"/>
      <c r="S2" s="133"/>
      <c r="T2" s="134"/>
      <c r="U2" s="144">
        <v>2014</v>
      </c>
      <c r="V2" s="144">
        <v>2015</v>
      </c>
      <c r="W2" s="157">
        <v>2016</v>
      </c>
      <c r="X2" s="157"/>
      <c r="Y2" s="157"/>
      <c r="Z2" s="145">
        <v>2017</v>
      </c>
      <c r="AG2" s="149"/>
      <c r="AH2" s="149"/>
      <c r="AI2" s="81"/>
      <c r="AJ2" s="81"/>
      <c r="AK2" s="81"/>
      <c r="AL2" s="81"/>
      <c r="AM2" s="81"/>
      <c r="AN2" s="81"/>
      <c r="AO2" s="81"/>
      <c r="AP2" s="81"/>
      <c r="AQ2" s="81"/>
      <c r="AR2" s="81"/>
      <c r="AS2" s="81"/>
      <c r="AT2" s="81"/>
      <c r="AU2" s="81"/>
      <c r="AV2" s="160"/>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row>
    <row r="3" spans="1:122" ht="15" hidden="1" customHeight="1">
      <c r="C3" s="81"/>
      <c r="D3" s="82"/>
      <c r="E3" s="82"/>
      <c r="F3" s="82"/>
      <c r="G3" s="82"/>
      <c r="H3" s="82"/>
      <c r="I3" s="82"/>
      <c r="J3" s="82"/>
      <c r="K3" s="82"/>
      <c r="L3" s="82"/>
      <c r="M3" s="82"/>
      <c r="N3" s="82"/>
      <c r="O3" s="82"/>
      <c r="P3" s="82"/>
      <c r="Q3" s="82"/>
      <c r="R3" s="121"/>
      <c r="S3" s="135" t="s">
        <v>435</v>
      </c>
      <c r="T3" s="136"/>
      <c r="U3" s="137">
        <v>5.4037200000000007</v>
      </c>
      <c r="V3" s="137">
        <v>5.5699999999999861</v>
      </c>
      <c r="W3" s="137">
        <v>5.8760000000000145</v>
      </c>
      <c r="X3" s="137"/>
      <c r="Y3" s="137"/>
      <c r="Z3" s="138">
        <v>6.0799999999999965</v>
      </c>
      <c r="AG3" s="150"/>
      <c r="AH3" s="150"/>
      <c r="AI3" s="81"/>
      <c r="AJ3" s="81"/>
      <c r="AK3" s="81"/>
      <c r="AL3" s="81"/>
      <c r="AM3" s="81"/>
      <c r="AN3" s="81"/>
      <c r="AO3" s="81"/>
      <c r="AP3" s="81"/>
      <c r="AQ3" s="81"/>
      <c r="AR3" s="81"/>
      <c r="AS3" s="81"/>
      <c r="AT3" s="81"/>
      <c r="AU3" s="81"/>
      <c r="AV3" s="160"/>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row>
    <row r="4" spans="1:122" ht="15" hidden="1" customHeight="1">
      <c r="C4" s="81"/>
      <c r="D4" s="82"/>
      <c r="E4" s="82"/>
      <c r="F4" s="82"/>
      <c r="G4" s="82"/>
      <c r="H4" s="82"/>
      <c r="I4" s="82"/>
      <c r="J4" s="82"/>
      <c r="K4" s="82"/>
      <c r="L4" s="82"/>
      <c r="M4" s="82"/>
      <c r="N4" s="82"/>
      <c r="O4" s="82"/>
      <c r="P4" s="82"/>
      <c r="Q4" s="82"/>
      <c r="R4" s="120"/>
      <c r="S4" s="126" t="s">
        <v>436</v>
      </c>
      <c r="T4" s="127"/>
      <c r="U4" s="124">
        <v>3.54</v>
      </c>
      <c r="V4" s="124">
        <v>3.5</v>
      </c>
      <c r="W4" s="124">
        <v>3.8</v>
      </c>
      <c r="X4" s="124"/>
      <c r="Y4" s="124"/>
      <c r="Z4" s="125">
        <v>4</v>
      </c>
      <c r="AG4" s="150"/>
      <c r="AH4" s="150"/>
      <c r="AI4" s="81"/>
      <c r="AJ4" s="81"/>
      <c r="AK4" s="81"/>
      <c r="AL4" s="81"/>
      <c r="AM4" s="81"/>
      <c r="AN4" s="81"/>
      <c r="AO4" s="81"/>
      <c r="AP4" s="81"/>
      <c r="AQ4" s="81"/>
      <c r="AR4" s="81"/>
      <c r="AS4" s="81"/>
      <c r="AT4" s="81"/>
      <c r="AU4" s="81"/>
      <c r="AV4" s="160"/>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row>
    <row r="5" spans="1:122" ht="15" hidden="1" customHeight="1">
      <c r="C5" s="81"/>
      <c r="D5" s="82"/>
      <c r="E5" s="82"/>
      <c r="F5" s="82"/>
      <c r="G5" s="82"/>
      <c r="H5" s="82"/>
      <c r="I5" s="82"/>
      <c r="J5" s="82"/>
      <c r="K5" s="82"/>
      <c r="L5" s="82"/>
      <c r="M5" s="82"/>
      <c r="N5" s="82"/>
      <c r="O5" s="82"/>
      <c r="P5" s="82"/>
      <c r="Q5" s="82"/>
      <c r="R5" s="121"/>
      <c r="S5" s="139" t="s">
        <v>226</v>
      </c>
      <c r="T5" s="140"/>
      <c r="U5" s="141">
        <v>1.8</v>
      </c>
      <c r="V5" s="141">
        <v>2</v>
      </c>
      <c r="W5" s="158">
        <v>2</v>
      </c>
      <c r="X5" s="158"/>
      <c r="Y5" s="158"/>
      <c r="Z5" s="156">
        <v>2</v>
      </c>
      <c r="AG5" s="151"/>
      <c r="AH5" s="151"/>
      <c r="AI5" s="81"/>
      <c r="AJ5" s="81"/>
      <c r="AK5" s="81"/>
      <c r="AL5" s="81"/>
      <c r="AM5" s="81"/>
      <c r="AN5" s="81"/>
      <c r="AO5" s="81"/>
      <c r="AP5" s="81"/>
      <c r="AQ5" s="81"/>
      <c r="AR5" s="81"/>
      <c r="AS5" s="81"/>
      <c r="AT5" s="81"/>
      <c r="AU5" s="81"/>
      <c r="AV5" s="160"/>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row>
    <row r="6" spans="1:122" ht="15" hidden="1" customHeight="1">
      <c r="C6" s="81"/>
      <c r="D6" s="82"/>
      <c r="E6" s="82"/>
      <c r="F6" s="82"/>
      <c r="G6" s="82"/>
      <c r="H6" s="82"/>
      <c r="I6" s="82"/>
      <c r="J6" s="82"/>
      <c r="K6" s="82"/>
      <c r="L6" s="82"/>
      <c r="M6" s="82"/>
      <c r="N6" s="82"/>
      <c r="O6" s="82"/>
      <c r="P6" s="82"/>
      <c r="Q6" s="82"/>
      <c r="R6" s="82"/>
      <c r="S6" s="142" t="s">
        <v>439</v>
      </c>
      <c r="T6" s="143"/>
      <c r="U6" s="155">
        <v>2.3E-2</v>
      </c>
      <c r="V6" s="155">
        <v>2.6499999999999999E-2</v>
      </c>
      <c r="W6" s="155">
        <v>4.4999999999999998E-2</v>
      </c>
      <c r="X6" s="155"/>
      <c r="Y6" s="155"/>
      <c r="Z6" s="155">
        <v>5.1999999999999998E-2</v>
      </c>
      <c r="AG6" s="148"/>
      <c r="AH6" s="148"/>
      <c r="AI6" s="81"/>
      <c r="AJ6" s="81"/>
      <c r="AK6" s="81"/>
      <c r="AL6" s="81"/>
      <c r="AM6" s="81"/>
      <c r="AN6" s="81"/>
      <c r="AO6" s="81"/>
      <c r="AP6" s="81"/>
      <c r="AQ6" s="81"/>
      <c r="AR6" s="81"/>
      <c r="AS6" s="81"/>
      <c r="AT6" s="81"/>
      <c r="AU6" s="81"/>
      <c r="AV6" s="160"/>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row>
    <row r="7" spans="1:122" ht="15" hidden="1" customHeight="1">
      <c r="C7" s="81"/>
      <c r="D7" s="82"/>
      <c r="E7" s="82"/>
      <c r="F7" s="82"/>
      <c r="G7" s="82"/>
      <c r="H7" s="82"/>
      <c r="I7" s="82"/>
      <c r="J7" s="82"/>
      <c r="K7" s="82"/>
      <c r="L7" s="82"/>
      <c r="M7" s="82"/>
      <c r="N7" s="82"/>
      <c r="O7" s="82"/>
      <c r="P7" s="82"/>
      <c r="Q7" s="82"/>
      <c r="R7" s="82"/>
      <c r="S7" s="128"/>
      <c r="T7" s="129"/>
      <c r="U7" s="129"/>
      <c r="V7" s="129"/>
      <c r="W7" s="159"/>
      <c r="X7" s="159"/>
      <c r="Y7" s="159"/>
      <c r="Z7" s="130"/>
      <c r="AG7" s="178" t="e">
        <f>+Z16-T16</f>
        <v>#REF!</v>
      </c>
      <c r="AH7" s="81"/>
      <c r="AI7" s="81"/>
      <c r="AJ7" s="81"/>
      <c r="AK7" s="81"/>
      <c r="AL7" s="81"/>
      <c r="AM7" s="81"/>
      <c r="AN7" s="81"/>
      <c r="AO7" s="81"/>
      <c r="AP7" s="81"/>
      <c r="AQ7" s="81"/>
      <c r="AR7" s="81"/>
      <c r="AS7" s="81"/>
      <c r="AT7" s="81"/>
      <c r="AU7" s="81"/>
      <c r="AV7" s="160"/>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row>
    <row r="8" spans="1:122" ht="15" hidden="1" customHeight="1">
      <c r="C8" s="81"/>
      <c r="D8" s="82"/>
      <c r="E8" s="82"/>
      <c r="F8" s="82"/>
      <c r="G8" s="82"/>
      <c r="H8" s="82"/>
      <c r="I8" s="82"/>
      <c r="J8" s="82"/>
      <c r="K8" s="82"/>
      <c r="L8" s="82"/>
      <c r="M8" s="82"/>
      <c r="N8" s="82"/>
      <c r="O8" s="82"/>
      <c r="P8" s="82"/>
      <c r="Q8" s="82"/>
      <c r="R8" s="82"/>
      <c r="S8" s="122" t="s">
        <v>437</v>
      </c>
      <c r="T8" s="123"/>
      <c r="U8" s="146" t="e">
        <f>+Z16/T16*100-100</f>
        <v>#REF!</v>
      </c>
      <c r="V8" s="146" t="e">
        <f>+AG16/AD16*100-100</f>
        <v>#REF!</v>
      </c>
      <c r="W8" s="146" t="e">
        <f>+AL16/AI16*100-100</f>
        <v>#REF!</v>
      </c>
      <c r="X8" s="146"/>
      <c r="Y8" s="146"/>
      <c r="Z8" s="152" t="e">
        <f>+AM16/AJ16*100-100</f>
        <v>#REF!</v>
      </c>
      <c r="AG8" s="81"/>
      <c r="AH8" s="81"/>
      <c r="AI8" s="81"/>
      <c r="AJ8" s="81"/>
      <c r="AK8" s="81"/>
      <c r="AL8" s="81"/>
      <c r="AM8" s="81"/>
      <c r="AN8" s="81"/>
      <c r="AO8" s="81"/>
      <c r="AP8" s="81"/>
      <c r="AQ8" s="81"/>
      <c r="AR8" s="81"/>
      <c r="AS8" s="81"/>
      <c r="AT8" s="81"/>
      <c r="AU8" s="81"/>
      <c r="AV8" s="160"/>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row>
    <row r="9" spans="1:122" ht="15" hidden="1" customHeight="1">
      <c r="C9" s="81"/>
      <c r="D9" s="82"/>
      <c r="E9" s="82"/>
      <c r="F9" s="82"/>
      <c r="G9" s="82"/>
      <c r="H9" s="82"/>
      <c r="I9" s="82"/>
      <c r="J9" s="82"/>
      <c r="K9" s="82"/>
      <c r="L9" s="82"/>
      <c r="M9" s="82"/>
      <c r="N9" s="82"/>
      <c r="O9" s="82"/>
      <c r="P9" s="82"/>
      <c r="Q9" s="82"/>
      <c r="R9" s="82"/>
      <c r="S9" s="131" t="s">
        <v>438</v>
      </c>
      <c r="T9" s="132"/>
      <c r="U9" s="147" t="e">
        <f>+Z16/R16*100-100</f>
        <v>#REF!</v>
      </c>
      <c r="V9" s="147" t="e">
        <f>+AG16/Z16*100-100</f>
        <v>#REF!</v>
      </c>
      <c r="W9" s="147" t="e">
        <f>+AL16/AG16*100-100</f>
        <v>#REF!</v>
      </c>
      <c r="X9" s="147"/>
      <c r="Y9" s="147"/>
      <c r="Z9" s="153" t="e">
        <f>+AM16/AH16*100-100</f>
        <v>#REF!</v>
      </c>
      <c r="AG9" s="81"/>
      <c r="AH9" s="81"/>
      <c r="AI9" s="81"/>
      <c r="AJ9" s="81"/>
      <c r="AK9" s="81"/>
      <c r="AL9" s="81"/>
      <c r="AM9" s="81"/>
      <c r="AN9" s="81"/>
      <c r="AO9" s="81"/>
      <c r="AP9" s="81"/>
      <c r="AQ9" s="81"/>
      <c r="AR9" s="81"/>
      <c r="AS9" s="81"/>
      <c r="AT9" s="81"/>
      <c r="AU9" s="81"/>
      <c r="AV9" s="160"/>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row>
    <row r="10" spans="1:122" ht="15" customHeight="1" thickBot="1">
      <c r="C10" s="81"/>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1"/>
      <c r="AF10" s="81"/>
      <c r="AG10" s="81"/>
      <c r="AH10" s="81"/>
      <c r="AI10" s="81"/>
      <c r="AJ10" s="81"/>
      <c r="AK10" s="81"/>
      <c r="AL10" s="81"/>
      <c r="AM10" s="81"/>
      <c r="AN10" s="81"/>
      <c r="AO10" s="81"/>
      <c r="AP10" s="81"/>
      <c r="AQ10" s="81"/>
      <c r="AR10" s="81"/>
      <c r="AS10" s="81"/>
      <c r="AT10" s="81"/>
      <c r="AU10" s="81"/>
      <c r="AV10" s="160"/>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row>
    <row r="11" spans="1:122" ht="18.75" customHeight="1" thickTop="1" thickBot="1">
      <c r="C11" s="247" t="str">
        <f>IF(MasterSheet!$A$1=1,MasterSheet!B67,MasterSheet!B66)</f>
        <v>BDP (u mil. €)</v>
      </c>
      <c r="D11" s="410">
        <v>2148900000</v>
      </c>
      <c r="E11" s="411"/>
      <c r="F11" s="408">
        <v>2680500000</v>
      </c>
      <c r="G11" s="409"/>
      <c r="H11" s="408">
        <v>3085600000</v>
      </c>
      <c r="I11" s="409"/>
      <c r="J11" s="408">
        <v>2981000000</v>
      </c>
      <c r="K11" s="409"/>
      <c r="L11" s="408">
        <v>3104000000</v>
      </c>
      <c r="M11" s="409"/>
      <c r="N11" s="408">
        <v>3234000000</v>
      </c>
      <c r="O11" s="409"/>
      <c r="P11" s="417">
        <v>3149000000</v>
      </c>
      <c r="Q11" s="417"/>
      <c r="R11" s="412">
        <v>3335894492.1291356</v>
      </c>
      <c r="S11" s="412"/>
      <c r="T11" s="412">
        <v>3516156889.9792166</v>
      </c>
      <c r="U11" s="412"/>
      <c r="V11" s="410"/>
      <c r="W11" s="411"/>
      <c r="X11" s="244"/>
      <c r="Y11" s="244"/>
      <c r="Z11" s="412">
        <f>+T11</f>
        <v>3516156889.9792166</v>
      </c>
      <c r="AA11" s="412"/>
      <c r="AB11" s="412">
        <f>+Z11</f>
        <v>3516156889.9792166</v>
      </c>
      <c r="AC11" s="412"/>
      <c r="AD11" s="412">
        <v>3712006828.7510591</v>
      </c>
      <c r="AE11" s="412"/>
      <c r="AF11" s="207"/>
      <c r="AG11" s="412">
        <v>3712006828.7510591</v>
      </c>
      <c r="AH11" s="412"/>
      <c r="AI11" s="412">
        <v>3930124350.0084715</v>
      </c>
      <c r="AJ11" s="412"/>
      <c r="AK11" s="207"/>
      <c r="AL11" s="412">
        <v>3930124350.0084715</v>
      </c>
      <c r="AM11" s="412"/>
      <c r="AN11" s="412">
        <v>4169075910.4889903</v>
      </c>
      <c r="AO11" s="412"/>
      <c r="AP11" s="208"/>
      <c r="AQ11" s="81"/>
      <c r="AR11" s="81"/>
      <c r="AS11" s="81"/>
      <c r="AT11" s="81"/>
      <c r="AU11" s="81"/>
      <c r="AV11" s="160"/>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row>
    <row r="12" spans="1:122" ht="19.5" customHeight="1" thickTop="1">
      <c r="C12" s="81"/>
      <c r="D12" s="82"/>
      <c r="E12" s="82"/>
      <c r="F12" s="82"/>
      <c r="G12" s="82"/>
      <c r="H12" s="82"/>
      <c r="I12" s="82"/>
      <c r="J12" s="82"/>
      <c r="K12" s="82"/>
      <c r="L12" s="82"/>
      <c r="M12" s="82"/>
      <c r="N12" s="82"/>
      <c r="O12" s="82"/>
      <c r="P12" s="413"/>
      <c r="Q12" s="413"/>
      <c r="R12" s="415" t="s">
        <v>337</v>
      </c>
      <c r="S12" s="415"/>
      <c r="T12" s="83"/>
      <c r="U12" s="83"/>
      <c r="V12" s="82"/>
      <c r="W12" s="82"/>
      <c r="X12" s="82"/>
      <c r="Y12" s="82"/>
      <c r="Z12" s="82"/>
      <c r="AA12" s="82"/>
      <c r="AB12" s="82"/>
      <c r="AC12" s="82"/>
      <c r="AD12" s="82"/>
      <c r="AE12" s="84"/>
      <c r="AF12" s="84"/>
      <c r="AG12" s="84"/>
      <c r="AH12" s="84"/>
      <c r="AI12" s="84"/>
      <c r="AJ12" s="84"/>
      <c r="AK12" s="84"/>
      <c r="AL12" s="84"/>
      <c r="AM12" s="84"/>
      <c r="AN12" s="84"/>
      <c r="AO12" s="84"/>
      <c r="AP12" s="84"/>
      <c r="AQ12" s="81"/>
      <c r="AR12" s="81"/>
      <c r="AS12" s="81"/>
      <c r="AT12" s="81"/>
      <c r="AU12" s="81"/>
      <c r="AV12" s="160"/>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row>
    <row r="13" spans="1:122" ht="17.25" customHeight="1" thickBot="1">
      <c r="B13" s="85"/>
      <c r="C13" s="86"/>
      <c r="D13" s="86"/>
      <c r="E13" s="86"/>
      <c r="F13" s="86"/>
      <c r="G13" s="86"/>
      <c r="H13" s="86"/>
      <c r="I13" s="86"/>
      <c r="J13" s="86"/>
      <c r="K13" s="86"/>
      <c r="L13" s="86"/>
      <c r="M13" s="86"/>
      <c r="N13" s="418"/>
      <c r="O13" s="418"/>
      <c r="P13" s="414"/>
      <c r="Q13" s="414"/>
      <c r="R13" s="416"/>
      <c r="S13" s="416"/>
      <c r="T13" s="209"/>
      <c r="U13" s="209"/>
      <c r="V13" s="209"/>
      <c r="W13" s="209"/>
      <c r="X13" s="209"/>
      <c r="Y13" s="209"/>
      <c r="Z13" s="209"/>
      <c r="AA13" s="209"/>
      <c r="AB13" s="209"/>
      <c r="AC13" s="209"/>
      <c r="AD13" s="209"/>
      <c r="AE13" s="209"/>
      <c r="AF13" s="209"/>
      <c r="AG13" s="209"/>
      <c r="AH13" s="209"/>
      <c r="AI13" s="209"/>
      <c r="AJ13" s="84"/>
      <c r="AK13" s="84"/>
      <c r="AL13" s="84"/>
      <c r="AM13" s="84"/>
      <c r="AN13" s="84"/>
      <c r="AO13" s="84"/>
      <c r="AP13" s="84"/>
      <c r="AQ13" s="81"/>
      <c r="AR13" s="81"/>
      <c r="AS13" s="81"/>
      <c r="AT13" s="81"/>
      <c r="AU13" s="164"/>
      <c r="AV13" s="165"/>
      <c r="AW13" s="164"/>
      <c r="AX13" s="164"/>
      <c r="AY13" s="164"/>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row>
    <row r="14" spans="1:122" ht="15.75" customHeight="1" thickTop="1">
      <c r="B14" s="87"/>
      <c r="C14" s="419" t="str">
        <f>IF(MasterSheet!$A$1=1,MasterSheet!B71,MasterSheet!B70)</f>
        <v>Budžet Crne Gore</v>
      </c>
      <c r="D14" s="421">
        <v>2006</v>
      </c>
      <c r="E14" s="422"/>
      <c r="F14" s="421">
        <v>2007</v>
      </c>
      <c r="G14" s="422"/>
      <c r="H14" s="421">
        <v>2008</v>
      </c>
      <c r="I14" s="422"/>
      <c r="J14" s="421">
        <v>2009</v>
      </c>
      <c r="K14" s="422"/>
      <c r="L14" s="421">
        <v>2010</v>
      </c>
      <c r="M14" s="422"/>
      <c r="N14" s="421">
        <v>2011</v>
      </c>
      <c r="O14" s="422"/>
      <c r="P14" s="421">
        <v>2012</v>
      </c>
      <c r="Q14" s="422"/>
      <c r="R14" s="423">
        <v>2013</v>
      </c>
      <c r="S14" s="424"/>
      <c r="T14" s="423" t="s">
        <v>393</v>
      </c>
      <c r="U14" s="424"/>
      <c r="V14" s="425" t="s">
        <v>444</v>
      </c>
      <c r="W14" s="425"/>
      <c r="X14" s="242"/>
      <c r="Y14" s="242"/>
      <c r="Z14" s="423" t="s">
        <v>434</v>
      </c>
      <c r="AA14" s="424"/>
      <c r="AB14" s="423" t="s">
        <v>434</v>
      </c>
      <c r="AC14" s="424"/>
      <c r="AD14" s="423" t="s">
        <v>440</v>
      </c>
      <c r="AE14" s="424"/>
      <c r="AF14" s="427" t="s">
        <v>443</v>
      </c>
      <c r="AG14" s="429" t="s">
        <v>442</v>
      </c>
      <c r="AH14" s="430"/>
      <c r="AI14" s="423" t="s">
        <v>441</v>
      </c>
      <c r="AJ14" s="424"/>
      <c r="AK14" s="431" t="s">
        <v>443</v>
      </c>
      <c r="AL14" s="423" t="s">
        <v>445</v>
      </c>
      <c r="AM14" s="424"/>
      <c r="AN14" s="423" t="s">
        <v>446</v>
      </c>
      <c r="AO14" s="424"/>
      <c r="AQ14" s="102"/>
      <c r="AR14" s="102"/>
      <c r="AS14" s="102"/>
      <c r="AT14" s="102"/>
      <c r="AU14" s="116"/>
      <c r="AV14" s="160"/>
      <c r="AW14" s="102"/>
      <c r="AX14" s="102"/>
      <c r="AY14" s="102"/>
      <c r="AZ14" s="102"/>
      <c r="BA14" s="102"/>
      <c r="BB14" s="102"/>
      <c r="BC14" s="102"/>
      <c r="BD14" s="102"/>
      <c r="BE14" s="102"/>
      <c r="BF14" s="102"/>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row>
    <row r="15" spans="1:122" ht="15" customHeight="1" thickBot="1">
      <c r="C15" s="420" t="str">
        <f>IF(MasterSheet!$A$1=1,MasterSheet!B71,MasterSheet!B70)</f>
        <v>Budžet Crne Gore</v>
      </c>
      <c r="D15" s="184" t="str">
        <f>IF(MasterSheet!$A$1=1,MasterSheet!C71,MasterSheet!C70)</f>
        <v>mil. €</v>
      </c>
      <c r="E15" s="185" t="str">
        <f>IF(MasterSheet!$A$1=1,MasterSheet!D71,MasterSheet!D70)</f>
        <v>% BDP</v>
      </c>
      <c r="F15" s="186" t="str">
        <f>IF(MasterSheet!$A$1=1,MasterSheet!E71,MasterSheet!E70)</f>
        <v>mil. €</v>
      </c>
      <c r="G15" s="187" t="str">
        <f>IF(MasterSheet!$A$1=1,MasterSheet!F71,MasterSheet!F70)</f>
        <v>% BDP</v>
      </c>
      <c r="H15" s="188" t="str">
        <f>IF(MasterSheet!$A$1=1,MasterSheet!G71,MasterSheet!G70)</f>
        <v>mil. €</v>
      </c>
      <c r="I15" s="187" t="str">
        <f>IF(MasterSheet!$A$1=1,MasterSheet!H71,MasterSheet!H70)</f>
        <v>% BDP</v>
      </c>
      <c r="J15" s="184" t="str">
        <f>IF(MasterSheet!$A$1=1,MasterSheet!I71,MasterSheet!I70)</f>
        <v>mil. €</v>
      </c>
      <c r="K15" s="186" t="str">
        <f>IF(MasterSheet!$A$1=1,MasterSheet!J71,MasterSheet!J70)</f>
        <v>% BDP</v>
      </c>
      <c r="L15" s="184" t="str">
        <f>IF(MasterSheet!$A$1=1,MasterSheet!K71,MasterSheet!K70)</f>
        <v>mil. €</v>
      </c>
      <c r="M15" s="185" t="str">
        <f>IF(MasterSheet!$A$1=1,MasterSheet!L71,MasterSheet!L70)</f>
        <v>% BDP</v>
      </c>
      <c r="N15" s="184" t="str">
        <f>IF(MasterSheet!$A$1=1,MasterSheet!M71,MasterSheet!M70)</f>
        <v>mil. €</v>
      </c>
      <c r="O15" s="186" t="str">
        <f>IF(MasterSheet!$A$1=1,MasterSheet!N71,MasterSheet!N70)</f>
        <v>% BDP</v>
      </c>
      <c r="P15" s="184" t="str">
        <f>IF(MasterSheet!$A$1=1,MasterSheet!O71,MasterSheet!O70)</f>
        <v>mil. €</v>
      </c>
      <c r="Q15" s="186" t="str">
        <f>IF(MasterSheet!$A$1=1,MasterSheet!P71,MasterSheet!P70)</f>
        <v>% BDP</v>
      </c>
      <c r="R15" s="88" t="str">
        <f>IF(MasterSheet!$A$1=1,MasterSheet!S71,MasterSheet!S70)</f>
        <v>mil. €</v>
      </c>
      <c r="S15" s="89" t="str">
        <f>IF(MasterSheet!$A$1=1,MasterSheet!T71,MasterSheet!T70)</f>
        <v>% BDP</v>
      </c>
      <c r="T15" s="88" t="s">
        <v>263</v>
      </c>
      <c r="U15" s="89" t="s">
        <v>150</v>
      </c>
      <c r="V15" s="426"/>
      <c r="W15" s="426"/>
      <c r="X15" s="243"/>
      <c r="Y15" s="243"/>
      <c r="Z15" s="88" t="s">
        <v>263</v>
      </c>
      <c r="AA15" s="89" t="s">
        <v>150</v>
      </c>
      <c r="AB15" s="88" t="s">
        <v>263</v>
      </c>
      <c r="AC15" s="89" t="s">
        <v>150</v>
      </c>
      <c r="AD15" s="88" t="str">
        <f>IF(MasterSheet!$A$1=1,MasterSheet!U71,MasterSheet!U70)</f>
        <v>mil. €</v>
      </c>
      <c r="AE15" s="89" t="str">
        <f>IF(MasterSheet!$A$1=1,MasterSheet!V71,MasterSheet!V70)</f>
        <v>% BDP</v>
      </c>
      <c r="AF15" s="428"/>
      <c r="AG15" s="88" t="str">
        <f>+AD15</f>
        <v>mil. €</v>
      </c>
      <c r="AH15" s="154" t="str">
        <f>+AE15</f>
        <v>% BDP</v>
      </c>
      <c r="AI15" s="88" t="s">
        <v>263</v>
      </c>
      <c r="AJ15" s="89" t="s">
        <v>150</v>
      </c>
      <c r="AK15" s="432"/>
      <c r="AL15" s="88" t="s">
        <v>263</v>
      </c>
      <c r="AM15" s="89" t="s">
        <v>150</v>
      </c>
      <c r="AN15" s="88" t="str">
        <f>+AL15</f>
        <v>mil. €</v>
      </c>
      <c r="AO15" s="89" t="str">
        <f>+AM15</f>
        <v>% BDP</v>
      </c>
      <c r="AQ15" s="102"/>
      <c r="AR15" s="102"/>
      <c r="AS15" s="102"/>
      <c r="AT15" s="102"/>
      <c r="AU15" s="166"/>
      <c r="AV15" s="160"/>
      <c r="AW15" s="102"/>
      <c r="AX15" s="102"/>
      <c r="AY15" s="102"/>
      <c r="AZ15" s="102"/>
      <c r="BA15" s="102"/>
      <c r="BB15" s="102"/>
      <c r="BC15" s="102"/>
      <c r="BD15" s="102"/>
      <c r="BE15" s="102"/>
      <c r="BF15" s="102"/>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row>
    <row r="16" spans="1:122" ht="15" customHeight="1" thickTop="1" thickBot="1">
      <c r="A16" s="259"/>
      <c r="B16" s="259"/>
      <c r="C16" s="90" t="str">
        <f>IF(MasterSheet!$A$1=1,MasterSheet!C72,MasterSheet!B72)</f>
        <v>Izvorni prihodi</v>
      </c>
      <c r="D16" s="91">
        <f>D17+D25+D30+D35+D42+D47</f>
        <v>861248548.43999958</v>
      </c>
      <c r="E16" s="92">
        <f t="shared" ref="E16:E62" si="0">D16/D$11*100</f>
        <v>40.07857733910371</v>
      </c>
      <c r="F16" s="91">
        <f>F17+F25+F30+F35+F42+F47</f>
        <v>1128300449.6399999</v>
      </c>
      <c r="G16" s="92">
        <f t="shared" ref="G16:G62" si="1">F16/F$11*100</f>
        <v>42.092909891438154</v>
      </c>
      <c r="H16" s="91">
        <f>H17+H25+H30+H35+H42+H47</f>
        <v>1287200216.2899997</v>
      </c>
      <c r="I16" s="92">
        <f>H16/H$11*100</f>
        <v>41.716366874837945</v>
      </c>
      <c r="J16" s="91">
        <f>J17+J25+J30+J35+J42+J47</f>
        <v>1169267417.6000001</v>
      </c>
      <c r="K16" s="92">
        <f>J16/J$11*100</f>
        <v>39.223999248574309</v>
      </c>
      <c r="L16" s="91">
        <f>L17+L25+L30+L35+L42+L47</f>
        <v>1140357804.0200005</v>
      </c>
      <c r="M16" s="92">
        <f>L16/L$11*100</f>
        <v>36.738331315077332</v>
      </c>
      <c r="N16" s="91">
        <f>N17+N25+N30+N35+N42+N47</f>
        <v>1129142807.0900002</v>
      </c>
      <c r="O16" s="92">
        <f>N16/N$11*100</f>
        <v>34.914743571119359</v>
      </c>
      <c r="P16" s="210">
        <f>P17+P25+P30+P35+P42+P47</f>
        <v>1121018319.5799999</v>
      </c>
      <c r="Q16" s="92">
        <f>P16/P$11*100</f>
        <v>35.59918448967926</v>
      </c>
      <c r="R16" s="210">
        <f>R17+R25+R30+R35+R42+R47+R48</f>
        <v>1241761831.02</v>
      </c>
      <c r="S16" s="92">
        <f>R16/R$11*100</f>
        <v>37.224253763117225</v>
      </c>
      <c r="T16" s="210">
        <f>T17+T25+T30+T35+T42+T47+T48</f>
        <v>1276056399.4371703</v>
      </c>
      <c r="U16" s="92">
        <f t="shared" ref="U16:U48" si="2">T16/T$11*100</f>
        <v>36.291224748071834</v>
      </c>
      <c r="V16" s="211"/>
      <c r="W16" s="211"/>
      <c r="X16" s="211"/>
      <c r="Y16" s="211"/>
      <c r="Z16" s="210" t="e">
        <f>Z17+Z25+Z30+Z35+Z42+Z47+Z48</f>
        <v>#REF!</v>
      </c>
      <c r="AA16" s="92" t="e">
        <f>+#REF!</f>
        <v>#REF!</v>
      </c>
      <c r="AB16" s="210" t="e">
        <f>AB17+AB25+AB30+AB35+AB42+AB47+AB48</f>
        <v>#REF!</v>
      </c>
      <c r="AC16" s="92" t="e">
        <f>+#REF!</f>
        <v>#REF!</v>
      </c>
      <c r="AD16" s="210" t="e">
        <f>+#REF!</f>
        <v>#REF!</v>
      </c>
      <c r="AE16" s="92" t="e">
        <f>+#REF!</f>
        <v>#REF!</v>
      </c>
      <c r="AF16" s="211" t="e">
        <f>+#REF!</f>
        <v>#REF!</v>
      </c>
      <c r="AG16" s="210" t="e">
        <f>AG17+AG25+AG30+AG35+AG42+AG47+AG48</f>
        <v>#REF!</v>
      </c>
      <c r="AH16" s="92" t="e">
        <f>+#REF!</f>
        <v>#REF!</v>
      </c>
      <c r="AI16" s="210" t="e">
        <f>+#REF!</f>
        <v>#REF!</v>
      </c>
      <c r="AJ16" s="92" t="e">
        <f>+#REF!</f>
        <v>#REF!</v>
      </c>
      <c r="AK16" s="211" t="e">
        <f>+#REF!</f>
        <v>#REF!</v>
      </c>
      <c r="AL16" s="210" t="e">
        <f>AL17+AL25+AL30+AL35+AL42+AL47+AL48</f>
        <v>#REF!</v>
      </c>
      <c r="AM16" s="92" t="e">
        <f>+#REF!</f>
        <v>#REF!</v>
      </c>
      <c r="AN16" s="210" t="e">
        <f>AN17+AN25+AN30+AN35+AN42+AN47+AN48</f>
        <v>#REF!</v>
      </c>
      <c r="AO16" s="92" t="e">
        <f>+#REF!</f>
        <v>#REF!</v>
      </c>
      <c r="AQ16" s="102"/>
      <c r="AR16" s="102"/>
      <c r="AS16" s="102"/>
      <c r="AT16" s="102"/>
      <c r="AU16" s="167"/>
      <c r="AV16" s="168"/>
      <c r="AW16" s="102"/>
      <c r="AX16" s="102"/>
      <c r="AY16" s="102"/>
      <c r="AZ16" s="102"/>
      <c r="BA16" s="102"/>
      <c r="BB16" s="102"/>
      <c r="BC16" s="102"/>
      <c r="BD16" s="102"/>
      <c r="BE16" s="102"/>
      <c r="BF16" s="102"/>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row>
    <row r="17" spans="1:127" ht="15" customHeight="1" thickTop="1">
      <c r="A17" s="259"/>
      <c r="B17" s="259"/>
      <c r="C17" s="94" t="str">
        <f>IF(MasterSheet!$A$1=1,MasterSheet!C73,MasterSheet!B73)</f>
        <v>Porezi</v>
      </c>
      <c r="D17" s="95">
        <f>SUM(D18:D24)</f>
        <v>499381748.50999969</v>
      </c>
      <c r="E17" s="96">
        <f t="shared" si="0"/>
        <v>23.238947764437604</v>
      </c>
      <c r="F17" s="97">
        <f>SUM(F18:F24)</f>
        <v>708017212.35000002</v>
      </c>
      <c r="G17" s="96">
        <f t="shared" si="1"/>
        <v>26.413624784555122</v>
      </c>
      <c r="H17" s="95">
        <f>SUM(H18:H24)</f>
        <v>827975111.18999994</v>
      </c>
      <c r="I17" s="96">
        <f t="shared" ref="I17:I60" si="3">H17/H$11*100</f>
        <v>26.833520585623539</v>
      </c>
      <c r="J17" s="95">
        <f>SUM(J18:J24)</f>
        <v>712439343.42000008</v>
      </c>
      <c r="K17" s="96">
        <f t="shared" ref="K17:K60" si="4">J17/J$11*100</f>
        <v>23.899340604495141</v>
      </c>
      <c r="L17" s="95">
        <f>SUM(L18:L24)</f>
        <v>675800345.0200001</v>
      </c>
      <c r="M17" s="96">
        <f t="shared" ref="M17:M60" si="5">L17/L$11*100</f>
        <v>21.771918331829902</v>
      </c>
      <c r="N17" s="95">
        <f>SUM(N18:N24)</f>
        <v>704070354.97000003</v>
      </c>
      <c r="O17" s="96">
        <f t="shared" ref="O17:O60" si="6">N17/N$11*100</f>
        <v>21.770882961348175</v>
      </c>
      <c r="P17" s="189">
        <f>SUM(P18:P24)</f>
        <v>687444134.69000006</v>
      </c>
      <c r="Q17" s="96">
        <f t="shared" ref="Q17:Q60" si="7">P17/P$11*100</f>
        <v>21.830553657986666</v>
      </c>
      <c r="R17" s="189">
        <f>SUM(R18:R24)</f>
        <v>755696459.51000011</v>
      </c>
      <c r="S17" s="96">
        <f t="shared" ref="S17:S60" si="8">R17/R$11*100</f>
        <v>22.653488031261944</v>
      </c>
      <c r="T17" s="189">
        <v>797828901.35953081</v>
      </c>
      <c r="U17" s="98">
        <f t="shared" si="2"/>
        <v>22.690366963808792</v>
      </c>
      <c r="V17" s="96"/>
      <c r="W17" s="96"/>
      <c r="X17" s="96"/>
      <c r="Y17" s="96"/>
      <c r="Z17" s="189" t="e">
        <f>+#REF!</f>
        <v>#REF!</v>
      </c>
      <c r="AA17" s="96" t="e">
        <f>+#REF!</f>
        <v>#REF!</v>
      </c>
      <c r="AB17" s="189" t="e">
        <f>+#REF!</f>
        <v>#REF!</v>
      </c>
      <c r="AC17" s="96" t="e">
        <f>+#REF!</f>
        <v>#REF!</v>
      </c>
      <c r="AD17" s="189" t="e">
        <f>+#REF!</f>
        <v>#REF!</v>
      </c>
      <c r="AE17" s="96" t="e">
        <f>+#REF!</f>
        <v>#REF!</v>
      </c>
      <c r="AF17" s="190" t="e">
        <f>+#REF!</f>
        <v>#REF!</v>
      </c>
      <c r="AG17" s="189" t="e">
        <f>+#REF!</f>
        <v>#REF!</v>
      </c>
      <c r="AH17" s="96" t="e">
        <f>+#REF!</f>
        <v>#REF!</v>
      </c>
      <c r="AI17" s="189" t="e">
        <f>+#REF!</f>
        <v>#REF!</v>
      </c>
      <c r="AJ17" s="96" t="e">
        <f>+#REF!</f>
        <v>#REF!</v>
      </c>
      <c r="AK17" s="190" t="e">
        <f>+#REF!</f>
        <v>#REF!</v>
      </c>
      <c r="AL17" s="189" t="e">
        <f>+#REF!</f>
        <v>#REF!</v>
      </c>
      <c r="AM17" s="96" t="e">
        <f>+#REF!</f>
        <v>#REF!</v>
      </c>
      <c r="AN17" s="189" t="e">
        <f>+#REF!</f>
        <v>#REF!</v>
      </c>
      <c r="AO17" s="98" t="e">
        <f>+#REF!</f>
        <v>#REF!</v>
      </c>
      <c r="AQ17" s="102"/>
      <c r="AR17" s="102"/>
      <c r="AS17" s="102"/>
      <c r="AT17" s="102"/>
      <c r="AU17" s="167"/>
      <c r="AV17" s="168"/>
      <c r="AW17" s="102"/>
      <c r="AX17" s="102"/>
      <c r="AY17" s="102"/>
      <c r="AZ17" s="102"/>
      <c r="BA17" s="102"/>
      <c r="BB17" s="102"/>
      <c r="BC17" s="102"/>
      <c r="BD17" s="102"/>
      <c r="BE17" s="102"/>
      <c r="BF17" s="102"/>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row>
    <row r="18" spans="1:127" ht="15" customHeight="1">
      <c r="A18" s="259"/>
      <c r="B18" s="259">
        <v>7111</v>
      </c>
      <c r="C18" s="99" t="str">
        <f>IF(MasterSheet!$A$1=1,MasterSheet!C74,MasterSheet!B74)</f>
        <v>Porez na dohodak fizičkih lica</v>
      </c>
      <c r="D18" s="100">
        <v>72493703.819999963</v>
      </c>
      <c r="E18" s="101">
        <f t="shared" si="0"/>
        <v>3.3735261678067832</v>
      </c>
      <c r="F18" s="100">
        <v>85402227.900000006</v>
      </c>
      <c r="G18" s="101">
        <f t="shared" si="1"/>
        <v>3.1860558813654167</v>
      </c>
      <c r="H18" s="100">
        <v>111918603.98999999</v>
      </c>
      <c r="I18" s="101">
        <f t="shared" si="3"/>
        <v>3.6271261339771841</v>
      </c>
      <c r="J18" s="100">
        <v>94990513.510000005</v>
      </c>
      <c r="K18" s="101">
        <f t="shared" si="4"/>
        <v>3.1865318185172762</v>
      </c>
      <c r="L18" s="100">
        <v>89753928.969999999</v>
      </c>
      <c r="M18" s="101">
        <f t="shared" si="5"/>
        <v>2.8915569900128868</v>
      </c>
      <c r="N18" s="100">
        <v>81640031.710000008</v>
      </c>
      <c r="O18" s="101">
        <f t="shared" si="6"/>
        <v>2.5244289335188621</v>
      </c>
      <c r="P18" s="191">
        <v>82261833.280000001</v>
      </c>
      <c r="Q18" s="101">
        <f t="shared" si="7"/>
        <v>2.6123160774849161</v>
      </c>
      <c r="R18" s="191">
        <v>95618433.909999996</v>
      </c>
      <c r="S18" s="101">
        <f t="shared" si="8"/>
        <v>2.8663506635358695</v>
      </c>
      <c r="T18" s="191">
        <v>96011654.614494905</v>
      </c>
      <c r="U18" s="101">
        <f t="shared" si="2"/>
        <v>2.7305850568875618</v>
      </c>
      <c r="V18" s="192"/>
      <c r="W18" s="192">
        <v>963492.84</v>
      </c>
      <c r="X18" s="192"/>
      <c r="Y18" s="192"/>
      <c r="Z18" s="193" t="e">
        <f>+#REF!</f>
        <v>#REF!</v>
      </c>
      <c r="AA18" s="101" t="e">
        <f>+#REF!</f>
        <v>#REF!</v>
      </c>
      <c r="AB18" s="193" t="e">
        <f>+#REF!</f>
        <v>#REF!</v>
      </c>
      <c r="AC18" s="101" t="e">
        <f>+#REF!</f>
        <v>#REF!</v>
      </c>
      <c r="AD18" s="193" t="e">
        <f>+#REF!</f>
        <v>#REF!</v>
      </c>
      <c r="AE18" s="101" t="e">
        <f>+#REF!</f>
        <v>#REF!</v>
      </c>
      <c r="AF18" s="194" t="e">
        <f>+#REF!</f>
        <v>#REF!</v>
      </c>
      <c r="AG18" s="193" t="e">
        <f>+#REF!</f>
        <v>#REF!</v>
      </c>
      <c r="AH18" s="101" t="e">
        <f>+#REF!</f>
        <v>#REF!</v>
      </c>
      <c r="AI18" s="191" t="e">
        <f>+#REF!</f>
        <v>#REF!</v>
      </c>
      <c r="AJ18" s="101" t="e">
        <f>+#REF!</f>
        <v>#REF!</v>
      </c>
      <c r="AK18" s="194" t="e">
        <f>+#REF!</f>
        <v>#REF!</v>
      </c>
      <c r="AL18" s="193" t="e">
        <f>+#REF!</f>
        <v>#REF!</v>
      </c>
      <c r="AM18" s="101" t="e">
        <f>+#REF!</f>
        <v>#REF!</v>
      </c>
      <c r="AN18" s="193" t="e">
        <f>+#REF!</f>
        <v>#REF!</v>
      </c>
      <c r="AO18" s="101" t="e">
        <f>+#REF!</f>
        <v>#REF!</v>
      </c>
      <c r="AQ18" s="102"/>
      <c r="AR18" s="103" t="s">
        <v>427</v>
      </c>
      <c r="AS18" s="103"/>
      <c r="AT18" s="103"/>
      <c r="AU18" s="103"/>
      <c r="AV18" s="169"/>
      <c r="AW18" s="102"/>
      <c r="AX18" s="102"/>
      <c r="AY18" s="102"/>
      <c r="AZ18" s="102"/>
      <c r="BA18" s="102"/>
      <c r="BB18" s="102"/>
      <c r="BC18" s="102"/>
      <c r="BD18" s="102"/>
      <c r="BE18" s="102"/>
      <c r="BF18" s="102"/>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row>
    <row r="19" spans="1:127" ht="15" customHeight="1">
      <c r="A19" s="259"/>
      <c r="B19" s="259">
        <v>7112</v>
      </c>
      <c r="C19" s="99" t="str">
        <f>IF(MasterSheet!$A$1=1,MasterSheet!C75,MasterSheet!B75)</f>
        <v>Porez na dobit pravnih lica</v>
      </c>
      <c r="D19" s="100">
        <v>12681282.079999981</v>
      </c>
      <c r="E19" s="101">
        <f t="shared" si="0"/>
        <v>0.59012899995346368</v>
      </c>
      <c r="F19" s="100">
        <v>39076661.670000002</v>
      </c>
      <c r="G19" s="101">
        <f t="shared" si="1"/>
        <v>1.457812410744264</v>
      </c>
      <c r="H19" s="100">
        <v>62803344.119999997</v>
      </c>
      <c r="I19" s="101">
        <f t="shared" si="3"/>
        <v>2.035368943479388</v>
      </c>
      <c r="J19" s="100">
        <v>54738222.979999997</v>
      </c>
      <c r="K19" s="101">
        <f t="shared" si="4"/>
        <v>1.8362369332438777</v>
      </c>
      <c r="L19" s="100">
        <v>20270971.710000001</v>
      </c>
      <c r="M19" s="101">
        <f t="shared" si="5"/>
        <v>0.65305965560567014</v>
      </c>
      <c r="N19" s="100">
        <v>36101185.260000005</v>
      </c>
      <c r="O19" s="101">
        <f t="shared" si="6"/>
        <v>1.1163013376623379</v>
      </c>
      <c r="P19" s="193">
        <v>64016557.520000003</v>
      </c>
      <c r="Q19" s="101">
        <f t="shared" si="7"/>
        <v>2.0329170377897743</v>
      </c>
      <c r="R19" s="193">
        <v>40638726.390000008</v>
      </c>
      <c r="S19" s="101">
        <f t="shared" si="8"/>
        <v>1.2182257708055488</v>
      </c>
      <c r="T19" s="193">
        <v>44395641.531501003</v>
      </c>
      <c r="U19" s="101">
        <f t="shared" si="2"/>
        <v>1.2626183336137604</v>
      </c>
      <c r="V19" s="192">
        <v>8000000</v>
      </c>
      <c r="W19" s="192">
        <v>445517.61</v>
      </c>
      <c r="X19" s="192"/>
      <c r="Y19" s="192"/>
      <c r="Z19" s="193" t="e">
        <f>+#REF!</f>
        <v>#REF!</v>
      </c>
      <c r="AA19" s="101" t="e">
        <f>+#REF!</f>
        <v>#REF!</v>
      </c>
      <c r="AB19" s="193" t="e">
        <f>+#REF!</f>
        <v>#REF!</v>
      </c>
      <c r="AC19" s="101" t="e">
        <f>+#REF!</f>
        <v>#REF!</v>
      </c>
      <c r="AD19" s="193" t="e">
        <f>+#REF!</f>
        <v>#REF!</v>
      </c>
      <c r="AE19" s="101" t="e">
        <f>+#REF!</f>
        <v>#REF!</v>
      </c>
      <c r="AF19" s="194" t="e">
        <f>+#REF!</f>
        <v>#REF!</v>
      </c>
      <c r="AG19" s="193" t="e">
        <f>+#REF!</f>
        <v>#REF!</v>
      </c>
      <c r="AH19" s="101" t="e">
        <f>+#REF!</f>
        <v>#REF!</v>
      </c>
      <c r="AI19" s="193" t="e">
        <f>+#REF!</f>
        <v>#REF!</v>
      </c>
      <c r="AJ19" s="101" t="e">
        <f>+#REF!</f>
        <v>#REF!</v>
      </c>
      <c r="AK19" s="194" t="e">
        <f>+#REF!</f>
        <v>#REF!</v>
      </c>
      <c r="AL19" s="193" t="e">
        <f>+#REF!</f>
        <v>#REF!</v>
      </c>
      <c r="AM19" s="101" t="e">
        <f>+#REF!</f>
        <v>#REF!</v>
      </c>
      <c r="AN19" s="193" t="e">
        <f>+#REF!</f>
        <v>#REF!</v>
      </c>
      <c r="AO19" s="101" t="e">
        <f>+#REF!</f>
        <v>#REF!</v>
      </c>
      <c r="AQ19" s="102"/>
      <c r="AR19" s="103"/>
      <c r="AS19" s="104">
        <f>+R14</f>
        <v>2013</v>
      </c>
      <c r="AT19" s="104" t="str">
        <f>+T14</f>
        <v>Plan 2014</v>
      </c>
      <c r="AU19" s="170" t="str">
        <f>+Z14</f>
        <v>Procjena 2014</v>
      </c>
      <c r="AV19" s="170" t="str">
        <f>+AG14</f>
        <v>Procjena 2015</v>
      </c>
      <c r="AW19" s="81"/>
      <c r="AX19" s="171"/>
      <c r="AY19" s="171"/>
      <c r="AZ19" s="171"/>
      <c r="BA19" s="171"/>
      <c r="BB19" s="171"/>
      <c r="BC19" s="171"/>
      <c r="BD19" s="171"/>
      <c r="BE19" s="171"/>
      <c r="BF19" s="171"/>
      <c r="BG19" s="171"/>
      <c r="BH19" s="171"/>
      <c r="BI19" s="171"/>
      <c r="BJ19" s="172"/>
      <c r="BK19" s="172"/>
      <c r="BL19" s="172"/>
      <c r="BM19" s="172"/>
      <c r="BN19" s="172"/>
      <c r="BO19" s="172"/>
      <c r="BP19" s="172"/>
      <c r="BQ19" s="172"/>
      <c r="BR19" s="172"/>
      <c r="BS19" s="172"/>
      <c r="BT19" s="172"/>
      <c r="BU19" s="172"/>
      <c r="BV19" s="173"/>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T19" s="81"/>
    </row>
    <row r="20" spans="1:127" ht="15" customHeight="1">
      <c r="A20" s="259"/>
      <c r="B20" s="259">
        <v>7113</v>
      </c>
      <c r="C20" s="99" t="str">
        <f>IF(MasterSheet!$A$1=1,MasterSheet!C76,MasterSheet!B76)</f>
        <v>Porez na promet nepokretnosti</v>
      </c>
      <c r="D20" s="100">
        <v>7371892.8599999985</v>
      </c>
      <c r="E20" s="101">
        <f t="shared" si="0"/>
        <v>0.3430542538042719</v>
      </c>
      <c r="F20" s="100">
        <v>20590669.43</v>
      </c>
      <c r="G20" s="101">
        <f t="shared" si="1"/>
        <v>0.76816524640925199</v>
      </c>
      <c r="H20" s="100">
        <v>11428331.24</v>
      </c>
      <c r="I20" s="101">
        <f t="shared" si="3"/>
        <v>0.37037630412237488</v>
      </c>
      <c r="J20" s="100">
        <v>5206820.57</v>
      </c>
      <c r="K20" s="101">
        <f t="shared" si="4"/>
        <v>0.17466690942636701</v>
      </c>
      <c r="L20" s="100">
        <v>4938431.08</v>
      </c>
      <c r="M20" s="101">
        <f t="shared" si="5"/>
        <v>0.15909893943298969</v>
      </c>
      <c r="N20" s="100">
        <v>1237096.94</v>
      </c>
      <c r="O20" s="101">
        <f t="shared" si="6"/>
        <v>3.8252842918985772E-2</v>
      </c>
      <c r="P20" s="193">
        <v>1441449.4</v>
      </c>
      <c r="Q20" s="101">
        <f t="shared" si="7"/>
        <v>4.5774830104795168E-2</v>
      </c>
      <c r="R20" s="193">
        <v>1440565.3199999998</v>
      </c>
      <c r="S20" s="101">
        <f t="shared" si="8"/>
        <v>4.318377944503151E-2</v>
      </c>
      <c r="T20" s="193">
        <v>1544536.6728920399</v>
      </c>
      <c r="U20" s="101">
        <f t="shared" si="2"/>
        <v>4.3926841754241781E-2</v>
      </c>
      <c r="V20" s="192"/>
      <c r="W20" s="192">
        <v>15499.68</v>
      </c>
      <c r="X20" s="192"/>
      <c r="Y20" s="192"/>
      <c r="Z20" s="193" t="e">
        <f>+#REF!</f>
        <v>#REF!</v>
      </c>
      <c r="AA20" s="101" t="e">
        <f>+#REF!</f>
        <v>#REF!</v>
      </c>
      <c r="AB20" s="193" t="e">
        <f>+#REF!</f>
        <v>#REF!</v>
      </c>
      <c r="AC20" s="101" t="e">
        <f>+#REF!</f>
        <v>#REF!</v>
      </c>
      <c r="AD20" s="193" t="e">
        <f>+#REF!</f>
        <v>#REF!</v>
      </c>
      <c r="AE20" s="101" t="e">
        <f>+#REF!</f>
        <v>#REF!</v>
      </c>
      <c r="AF20" s="194" t="e">
        <f>+#REF!</f>
        <v>#REF!</v>
      </c>
      <c r="AG20" s="193" t="e">
        <f>+#REF!</f>
        <v>#REF!</v>
      </c>
      <c r="AH20" s="101" t="e">
        <f>+#REF!</f>
        <v>#REF!</v>
      </c>
      <c r="AI20" s="193" t="e">
        <f>+#REF!</f>
        <v>#REF!</v>
      </c>
      <c r="AJ20" s="101" t="e">
        <f>+#REF!</f>
        <v>#REF!</v>
      </c>
      <c r="AK20" s="194" t="e">
        <f>+#REF!</f>
        <v>#REF!</v>
      </c>
      <c r="AL20" s="193" t="e">
        <f>+#REF!</f>
        <v>#REF!</v>
      </c>
      <c r="AM20" s="101" t="e">
        <f>+#REF!</f>
        <v>#REF!</v>
      </c>
      <c r="AN20" s="193" t="e">
        <f>+#REF!</f>
        <v>#REF!</v>
      </c>
      <c r="AO20" s="101" t="e">
        <f>+#REF!</f>
        <v>#REF!</v>
      </c>
      <c r="AQ20" s="102"/>
      <c r="AR20" s="103" t="s">
        <v>428</v>
      </c>
      <c r="AS20" s="103">
        <f>+S52</f>
        <v>10.975422305375018</v>
      </c>
      <c r="AT20" s="103">
        <f>+U52</f>
        <v>10.991793193911903</v>
      </c>
      <c r="AU20" s="105">
        <f>+AA52</f>
        <v>10.991793193911903</v>
      </c>
      <c r="AV20" s="105">
        <f>+AH52</f>
        <v>10.620090042426959</v>
      </c>
      <c r="AX20" s="105"/>
      <c r="AY20" s="171"/>
      <c r="AZ20" s="171"/>
      <c r="BA20" s="171"/>
      <c r="BB20" s="171"/>
      <c r="BC20" s="171"/>
      <c r="BD20" s="171"/>
      <c r="BE20" s="171"/>
      <c r="BF20" s="171"/>
      <c r="BG20" s="171"/>
      <c r="BH20" s="171"/>
      <c r="BI20" s="171"/>
      <c r="BJ20" s="172"/>
      <c r="BK20" s="172"/>
      <c r="BL20" s="172"/>
      <c r="BM20" s="172"/>
      <c r="BN20" s="172"/>
      <c r="BO20" s="172"/>
      <c r="BP20" s="172"/>
      <c r="BQ20" s="172"/>
      <c r="BR20" s="172"/>
      <c r="BS20" s="172"/>
      <c r="BT20" s="172"/>
      <c r="BU20" s="172"/>
      <c r="BV20" s="173"/>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3"/>
      <c r="CV20" s="173"/>
      <c r="CW20" s="173"/>
      <c r="CX20" s="173"/>
      <c r="CY20" s="173"/>
      <c r="CZ20" s="173"/>
      <c r="DA20" s="173"/>
      <c r="DB20" s="173"/>
      <c r="DC20" s="173"/>
      <c r="DD20" s="173"/>
      <c r="DE20" s="173"/>
      <c r="DF20" s="173"/>
      <c r="DG20" s="172"/>
      <c r="DH20" s="172"/>
      <c r="DI20" s="172"/>
      <c r="DJ20" s="172"/>
      <c r="DK20" s="172"/>
      <c r="DL20" s="172"/>
      <c r="DM20" s="172"/>
      <c r="DN20" s="172"/>
      <c r="DO20" s="172"/>
      <c r="DP20" s="172"/>
      <c r="DQ20" s="172"/>
      <c r="DR20" s="172"/>
    </row>
    <row r="21" spans="1:127" ht="15" customHeight="1">
      <c r="A21" s="259"/>
      <c r="B21" s="259">
        <v>7114</v>
      </c>
      <c r="C21" s="99" t="str">
        <f>IF(MasterSheet!$A$1=1,MasterSheet!C77,MasterSheet!B77)</f>
        <v>Porez na dodatu vrijednost</v>
      </c>
      <c r="D21" s="100">
        <v>273156637.07999986</v>
      </c>
      <c r="E21" s="101">
        <f t="shared" si="0"/>
        <v>12.711463403601837</v>
      </c>
      <c r="F21" s="100">
        <v>393174255.16000003</v>
      </c>
      <c r="G21" s="101">
        <f t="shared" si="1"/>
        <v>14.667944605857116</v>
      </c>
      <c r="H21" s="100">
        <v>440064484.29000002</v>
      </c>
      <c r="I21" s="101">
        <f t="shared" si="3"/>
        <v>14.26187724559243</v>
      </c>
      <c r="J21" s="100">
        <v>370776941.73000002</v>
      </c>
      <c r="K21" s="101">
        <f t="shared" si="4"/>
        <v>12.438005425360618</v>
      </c>
      <c r="L21" s="100">
        <v>364177041.45999998</v>
      </c>
      <c r="M21" s="101">
        <f t="shared" si="5"/>
        <v>11.732507778994844</v>
      </c>
      <c r="N21" s="100">
        <v>392235880.90999997</v>
      </c>
      <c r="O21" s="101">
        <f t="shared" si="6"/>
        <v>12.12850590321583</v>
      </c>
      <c r="P21" s="191">
        <v>354714031.35000002</v>
      </c>
      <c r="Q21" s="101">
        <f t="shared" si="7"/>
        <v>11.264338880597016</v>
      </c>
      <c r="R21" s="191">
        <v>429195069.32999998</v>
      </c>
      <c r="S21" s="101">
        <f t="shared" si="8"/>
        <v>12.865966544885122</v>
      </c>
      <c r="T21" s="191">
        <v>455945630.52919102</v>
      </c>
      <c r="U21" s="101">
        <f t="shared" si="2"/>
        <v>12.967158315051353</v>
      </c>
      <c r="V21" s="192">
        <v>30000000</v>
      </c>
      <c r="W21" s="192">
        <v>4575489.8600000003</v>
      </c>
      <c r="X21" s="192"/>
      <c r="Y21" s="192"/>
      <c r="Z21" s="193" t="e">
        <f>+#REF!</f>
        <v>#REF!</v>
      </c>
      <c r="AA21" s="101" t="e">
        <f>+#REF!</f>
        <v>#REF!</v>
      </c>
      <c r="AB21" s="193" t="e">
        <f>+#REF!</f>
        <v>#REF!</v>
      </c>
      <c r="AC21" s="101" t="e">
        <f>+#REF!</f>
        <v>#REF!</v>
      </c>
      <c r="AD21" s="191" t="e">
        <f>+#REF!</f>
        <v>#REF!</v>
      </c>
      <c r="AE21" s="101" t="e">
        <f>+#REF!</f>
        <v>#REF!</v>
      </c>
      <c r="AF21" s="194" t="e">
        <f>+#REF!</f>
        <v>#REF!</v>
      </c>
      <c r="AG21" s="193" t="e">
        <f>+#REF!</f>
        <v>#REF!</v>
      </c>
      <c r="AH21" s="101" t="e">
        <f>+#REF!</f>
        <v>#REF!</v>
      </c>
      <c r="AI21" s="191" t="e">
        <f>+#REF!</f>
        <v>#REF!</v>
      </c>
      <c r="AJ21" s="101" t="e">
        <f>+#REF!</f>
        <v>#REF!</v>
      </c>
      <c r="AK21" s="194" t="e">
        <f>+#REF!</f>
        <v>#REF!</v>
      </c>
      <c r="AL21" s="193" t="e">
        <f>+#REF!</f>
        <v>#REF!</v>
      </c>
      <c r="AM21" s="101" t="e">
        <f>+#REF!</f>
        <v>#REF!</v>
      </c>
      <c r="AN21" s="193" t="e">
        <f>+#REF!</f>
        <v>#REF!</v>
      </c>
      <c r="AO21" s="101" t="e">
        <f>+#REF!</f>
        <v>#REF!</v>
      </c>
      <c r="AQ21" s="102"/>
      <c r="AR21" s="106" t="s">
        <v>429</v>
      </c>
      <c r="AS21" s="106">
        <f>+S65</f>
        <v>11.486881531298929</v>
      </c>
      <c r="AT21" s="106">
        <f>+U65</f>
        <v>11.299844898910312</v>
      </c>
      <c r="AU21" s="105">
        <f>+AA65</f>
        <v>11.299844898910312</v>
      </c>
      <c r="AV21" s="105">
        <f>+AH65</f>
        <v>11.026926777171898</v>
      </c>
      <c r="AX21" s="105"/>
      <c r="AY21" s="81"/>
      <c r="AZ21" s="81"/>
      <c r="BA21" s="81"/>
      <c r="BB21" s="81"/>
      <c r="BC21" s="81"/>
      <c r="BD21" s="81"/>
      <c r="BE21" s="81"/>
      <c r="BF21" s="81"/>
      <c r="BG21" s="81"/>
      <c r="BH21" s="81"/>
      <c r="BI21" s="81"/>
    </row>
    <row r="22" spans="1:127" ht="15" customHeight="1">
      <c r="A22" s="259"/>
      <c r="B22" s="259">
        <v>7115</v>
      </c>
      <c r="C22" s="99" t="str">
        <f>IF(MasterSheet!$A$1=1,MasterSheet!C78,MasterSheet!B78)</f>
        <v>Akcize</v>
      </c>
      <c r="D22" s="100">
        <v>72376242.179999948</v>
      </c>
      <c r="E22" s="101">
        <f t="shared" si="0"/>
        <v>3.3680600390897646</v>
      </c>
      <c r="F22" s="100">
        <v>94538367.25</v>
      </c>
      <c r="G22" s="101">
        <f t="shared" si="1"/>
        <v>3.526893014362992</v>
      </c>
      <c r="H22" s="100">
        <v>120303864.65000001</v>
      </c>
      <c r="I22" s="101">
        <f t="shared" si="3"/>
        <v>3.8988807573891631</v>
      </c>
      <c r="J22" s="100">
        <v>128684864.44</v>
      </c>
      <c r="K22" s="101">
        <f t="shared" si="4"/>
        <v>4.3168354391143904</v>
      </c>
      <c r="L22" s="100">
        <v>134261371.03</v>
      </c>
      <c r="M22" s="101">
        <f t="shared" si="5"/>
        <v>4.3254307677190722</v>
      </c>
      <c r="N22" s="100">
        <v>143379590.77000001</v>
      </c>
      <c r="O22" s="101">
        <f t="shared" si="6"/>
        <v>4.4335062081014227</v>
      </c>
      <c r="P22" s="193">
        <v>151766097.75999999</v>
      </c>
      <c r="Q22" s="101">
        <f t="shared" si="7"/>
        <v>4.8195013578913937</v>
      </c>
      <c r="R22" s="193">
        <v>161445470.17000002</v>
      </c>
      <c r="S22" s="101">
        <f t="shared" si="8"/>
        <v>4.8396455748502225</v>
      </c>
      <c r="T22" s="193">
        <v>171111988.52539012</v>
      </c>
      <c r="U22" s="101">
        <f t="shared" si="2"/>
        <v>4.8664491909631922</v>
      </c>
      <c r="V22" s="212">
        <v>4000000</v>
      </c>
      <c r="W22" s="192"/>
      <c r="X22" s="192"/>
      <c r="Y22" s="192"/>
      <c r="Z22" s="193" t="e">
        <f>+#REF!</f>
        <v>#REF!</v>
      </c>
      <c r="AA22" s="101" t="e">
        <f>+#REF!</f>
        <v>#REF!</v>
      </c>
      <c r="AB22" s="193" t="e">
        <f>+#REF!</f>
        <v>#REF!</v>
      </c>
      <c r="AC22" s="101" t="e">
        <f>+#REF!</f>
        <v>#REF!</v>
      </c>
      <c r="AD22" s="193" t="e">
        <f>+#REF!</f>
        <v>#REF!</v>
      </c>
      <c r="AE22" s="101" t="e">
        <f>+#REF!</f>
        <v>#REF!</v>
      </c>
      <c r="AF22" s="194" t="e">
        <f>+#REF!</f>
        <v>#REF!</v>
      </c>
      <c r="AG22" s="193" t="e">
        <f>+#REF!</f>
        <v>#REF!</v>
      </c>
      <c r="AH22" s="101" t="e">
        <f>+#REF!</f>
        <v>#REF!</v>
      </c>
      <c r="AI22" s="193" t="e">
        <f>+#REF!</f>
        <v>#REF!</v>
      </c>
      <c r="AJ22" s="101" t="e">
        <f>+#REF!</f>
        <v>#REF!</v>
      </c>
      <c r="AK22" s="194" t="e">
        <f>+#REF!</f>
        <v>#REF!</v>
      </c>
      <c r="AL22" s="193" t="e">
        <f>+#REF!</f>
        <v>#REF!</v>
      </c>
      <c r="AM22" s="101" t="e">
        <f>+#REF!</f>
        <v>#REF!</v>
      </c>
      <c r="AN22" s="193" t="e">
        <f>+#REF!</f>
        <v>#REF!</v>
      </c>
      <c r="AO22" s="101" t="e">
        <f>+#REF!</f>
        <v>#REF!</v>
      </c>
      <c r="AQ22" s="102"/>
      <c r="AR22" s="106" t="s">
        <v>229</v>
      </c>
      <c r="AS22" s="106">
        <f>+S49-AS20-AS21</f>
        <v>18.410301915095033</v>
      </c>
      <c r="AT22" s="106">
        <f>+U49-AT20-AT21</f>
        <v>15.750039559050311</v>
      </c>
      <c r="AU22" s="106">
        <f>+AA49-AU20-AU21</f>
        <v>16.607600873960184</v>
      </c>
      <c r="AV22" s="106">
        <f>+AH49-AV20-AV21</f>
        <v>18.575568002404093</v>
      </c>
      <c r="AX22" s="106"/>
      <c r="AY22" s="81"/>
      <c r="AZ22" s="81"/>
      <c r="BA22" s="81"/>
      <c r="BB22" s="81"/>
      <c r="BC22" s="81"/>
      <c r="BD22" s="81"/>
      <c r="BE22" s="81"/>
      <c r="BF22" s="81"/>
      <c r="BG22" s="81"/>
      <c r="BH22" s="81"/>
      <c r="BI22" s="81"/>
    </row>
    <row r="23" spans="1:127" ht="15" customHeight="1">
      <c r="A23" s="259"/>
      <c r="B23" s="259">
        <v>7116</v>
      </c>
      <c r="C23" s="99" t="str">
        <f>IF(MasterSheet!$A$1=1,MasterSheet!C79,MasterSheet!B79)</f>
        <v>Porez na međunarodnu trgovinu i transakcije</v>
      </c>
      <c r="D23" s="100">
        <v>56766223.619999953</v>
      </c>
      <c r="E23" s="101">
        <f t="shared" si="0"/>
        <v>2.6416410079575572</v>
      </c>
      <c r="F23" s="100">
        <v>68495722.040000007</v>
      </c>
      <c r="G23" s="101">
        <f t="shared" si="1"/>
        <v>2.5553337825032645</v>
      </c>
      <c r="H23" s="100">
        <v>72926890</v>
      </c>
      <c r="I23" s="101">
        <f t="shared" si="3"/>
        <v>2.3634589707026183</v>
      </c>
      <c r="J23" s="100">
        <v>49121124.340000004</v>
      </c>
      <c r="K23" s="101">
        <f t="shared" si="4"/>
        <v>1.6478069218383093</v>
      </c>
      <c r="L23" s="100">
        <v>50811537.57</v>
      </c>
      <c r="M23" s="101">
        <f t="shared" si="5"/>
        <v>1.6369696382087628</v>
      </c>
      <c r="N23" s="100">
        <v>45327985.280000009</v>
      </c>
      <c r="O23" s="101">
        <f t="shared" si="6"/>
        <v>1.4016074607297468</v>
      </c>
      <c r="P23" s="193">
        <v>28965025.329999998</v>
      </c>
      <c r="Q23" s="101">
        <f t="shared" si="7"/>
        <v>0.91981661892664335</v>
      </c>
      <c r="R23" s="193">
        <v>22269382.640000001</v>
      </c>
      <c r="S23" s="101">
        <f t="shared" si="8"/>
        <v>0.66756855447746977</v>
      </c>
      <c r="T23" s="193">
        <v>23735353.696558259</v>
      </c>
      <c r="U23" s="101">
        <f t="shared" si="2"/>
        <v>0.67503682114419394</v>
      </c>
      <c r="V23" s="192">
        <v>0</v>
      </c>
      <c r="W23" s="192"/>
      <c r="X23" s="192"/>
      <c r="Y23" s="192"/>
      <c r="Z23" s="193" t="e">
        <f>+#REF!</f>
        <v>#REF!</v>
      </c>
      <c r="AA23" s="101" t="e">
        <f>+#REF!</f>
        <v>#REF!</v>
      </c>
      <c r="AB23" s="193" t="e">
        <f>+#REF!</f>
        <v>#REF!</v>
      </c>
      <c r="AC23" s="101" t="e">
        <f>+#REF!</f>
        <v>#REF!</v>
      </c>
      <c r="AD23" s="193" t="e">
        <f>+#REF!</f>
        <v>#REF!</v>
      </c>
      <c r="AE23" s="101" t="e">
        <f>+#REF!</f>
        <v>#REF!</v>
      </c>
      <c r="AF23" s="194" t="e">
        <f>+#REF!</f>
        <v>#REF!</v>
      </c>
      <c r="AG23" s="193" t="e">
        <f>+#REF!</f>
        <v>#REF!</v>
      </c>
      <c r="AH23" s="101" t="e">
        <f>+#REF!</f>
        <v>#REF!</v>
      </c>
      <c r="AI23" s="193" t="e">
        <f>+#REF!</f>
        <v>#REF!</v>
      </c>
      <c r="AJ23" s="101" t="e">
        <f>+#REF!</f>
        <v>#REF!</v>
      </c>
      <c r="AK23" s="194" t="e">
        <f>+#REF!</f>
        <v>#REF!</v>
      </c>
      <c r="AL23" s="193" t="e">
        <f>+#REF!</f>
        <v>#REF!</v>
      </c>
      <c r="AM23" s="101" t="e">
        <f>+#REF!</f>
        <v>#REF!</v>
      </c>
      <c r="AN23" s="193" t="e">
        <f>+#REF!</f>
        <v>#REF!</v>
      </c>
      <c r="AO23" s="101" t="e">
        <f>+#REF!</f>
        <v>#REF!</v>
      </c>
      <c r="AQ23" s="102"/>
      <c r="AR23" s="106"/>
      <c r="AS23" s="106"/>
      <c r="AT23" s="106"/>
      <c r="AU23" s="106"/>
      <c r="AV23" s="107"/>
      <c r="AW23" s="81"/>
      <c r="AX23" s="81"/>
      <c r="AY23" s="81"/>
      <c r="AZ23" s="81"/>
      <c r="BA23" s="81"/>
      <c r="BB23" s="81"/>
      <c r="BC23" s="81"/>
      <c r="BD23" s="81"/>
      <c r="BE23" s="81"/>
      <c r="BF23" s="81"/>
      <c r="BG23" s="81"/>
      <c r="BH23" s="81"/>
      <c r="BI23" s="81"/>
      <c r="DU23" s="174"/>
      <c r="DV23" s="174"/>
      <c r="DW23" s="81"/>
    </row>
    <row r="24" spans="1:127" ht="15" customHeight="1">
      <c r="A24" s="259"/>
      <c r="B24" s="259">
        <v>7118</v>
      </c>
      <c r="C24" s="99" t="str">
        <f>IF(MasterSheet!$A$1=1,MasterSheet!C80,MasterSheet!B80)</f>
        <v>Ostali republički prihodi</v>
      </c>
      <c r="D24" s="100">
        <v>4535766.87</v>
      </c>
      <c r="E24" s="101">
        <f t="shared" si="0"/>
        <v>0.21107389222392853</v>
      </c>
      <c r="F24" s="100">
        <v>6739308.9000000004</v>
      </c>
      <c r="G24" s="101">
        <f t="shared" si="1"/>
        <v>0.25141984331281481</v>
      </c>
      <c r="H24" s="100">
        <v>8529592.9000000004</v>
      </c>
      <c r="I24" s="101">
        <f t="shared" si="3"/>
        <v>0.27643223036038372</v>
      </c>
      <c r="J24" s="100">
        <v>8920855.8499999996</v>
      </c>
      <c r="K24" s="101">
        <f t="shared" si="4"/>
        <v>0.29925715699429722</v>
      </c>
      <c r="L24" s="100">
        <v>11587063.199999999</v>
      </c>
      <c r="M24" s="101">
        <f t="shared" si="5"/>
        <v>0.37329456185567006</v>
      </c>
      <c r="N24" s="100">
        <v>4148584.0999999996</v>
      </c>
      <c r="O24" s="101">
        <f t="shared" si="6"/>
        <v>0.12828027520098947</v>
      </c>
      <c r="P24" s="193">
        <v>4279140.05</v>
      </c>
      <c r="Q24" s="101">
        <f t="shared" si="7"/>
        <v>0.13588885519212449</v>
      </c>
      <c r="R24" s="193">
        <v>5088811.75</v>
      </c>
      <c r="S24" s="101">
        <f t="shared" si="8"/>
        <v>0.15254714326267749</v>
      </c>
      <c r="T24" s="193">
        <v>5084095.7895035082</v>
      </c>
      <c r="U24" s="101">
        <f t="shared" si="2"/>
        <v>0.14459240439449103</v>
      </c>
      <c r="V24" s="192"/>
      <c r="W24" s="192"/>
      <c r="X24" s="192"/>
      <c r="Y24" s="192"/>
      <c r="Z24" s="193" t="e">
        <f>+#REF!</f>
        <v>#REF!</v>
      </c>
      <c r="AA24" s="101" t="e">
        <f>+#REF!</f>
        <v>#REF!</v>
      </c>
      <c r="AB24" s="193" t="e">
        <f>+#REF!</f>
        <v>#REF!</v>
      </c>
      <c r="AC24" s="101" t="e">
        <f>+#REF!</f>
        <v>#REF!</v>
      </c>
      <c r="AD24" s="193" t="e">
        <f>+#REF!</f>
        <v>#REF!</v>
      </c>
      <c r="AE24" s="101" t="e">
        <f>+#REF!</f>
        <v>#REF!</v>
      </c>
      <c r="AF24" s="194" t="e">
        <f>+#REF!</f>
        <v>#REF!</v>
      </c>
      <c r="AG24" s="193" t="e">
        <f>+#REF!</f>
        <v>#REF!</v>
      </c>
      <c r="AH24" s="101" t="e">
        <f>+#REF!</f>
        <v>#REF!</v>
      </c>
      <c r="AI24" s="193" t="e">
        <f>+#REF!</f>
        <v>#REF!</v>
      </c>
      <c r="AJ24" s="101" t="e">
        <f>+#REF!</f>
        <v>#REF!</v>
      </c>
      <c r="AK24" s="194" t="e">
        <f>+#REF!</f>
        <v>#REF!</v>
      </c>
      <c r="AL24" s="193" t="e">
        <f>+#REF!</f>
        <v>#REF!</v>
      </c>
      <c r="AM24" s="101" t="e">
        <f>+#REF!</f>
        <v>#REF!</v>
      </c>
      <c r="AN24" s="193" t="e">
        <f>+#REF!</f>
        <v>#REF!</v>
      </c>
      <c r="AO24" s="101" t="e">
        <f>+#REF!</f>
        <v>#REF!</v>
      </c>
      <c r="AQ24" s="102"/>
      <c r="AR24" s="106"/>
      <c r="AS24" s="106"/>
      <c r="AT24" s="106"/>
      <c r="AU24" s="106"/>
      <c r="AV24" s="107"/>
      <c r="AW24" s="81"/>
      <c r="AX24" s="81"/>
      <c r="AY24" s="81"/>
      <c r="AZ24" s="81"/>
      <c r="BA24" s="81"/>
      <c r="BB24" s="81"/>
      <c r="BC24" s="81"/>
      <c r="BD24" s="81"/>
      <c r="BE24" s="81"/>
      <c r="BF24" s="81"/>
      <c r="BG24" s="81"/>
      <c r="BH24" s="81"/>
      <c r="BI24" s="81"/>
      <c r="DU24" s="174"/>
      <c r="DV24" s="174"/>
      <c r="DW24" s="81"/>
    </row>
    <row r="25" spans="1:127" ht="15" customHeight="1">
      <c r="A25" s="259"/>
      <c r="B25" s="259">
        <v>712</v>
      </c>
      <c r="C25" s="94" t="str">
        <f>IF(MasterSheet!$A$1=1,MasterSheet!C81,MasterSheet!B81)</f>
        <v>Doprinosi</v>
      </c>
      <c r="D25" s="95">
        <f>SUM(D26:D29)</f>
        <v>255157132.13</v>
      </c>
      <c r="E25" s="98">
        <f t="shared" si="0"/>
        <v>11.873848579738471</v>
      </c>
      <c r="F25" s="95">
        <f>SUM(F26:F29)</f>
        <v>306787808.32999998</v>
      </c>
      <c r="G25" s="98">
        <f t="shared" si="1"/>
        <v>11.445170987875395</v>
      </c>
      <c r="H25" s="95">
        <f>SUM(H26:H29)</f>
        <v>339912631.83999997</v>
      </c>
      <c r="I25" s="98">
        <f t="shared" si="3"/>
        <v>11.016095146486906</v>
      </c>
      <c r="J25" s="95">
        <f>SUM(J26:J29)</f>
        <v>307544352.32999998</v>
      </c>
      <c r="K25" s="98">
        <f t="shared" si="4"/>
        <v>10.316818259979872</v>
      </c>
      <c r="L25" s="95">
        <f>SUM(L26:L29)</f>
        <v>379756996.48000008</v>
      </c>
      <c r="M25" s="98">
        <f t="shared" si="5"/>
        <v>12.234439319587631</v>
      </c>
      <c r="N25" s="95">
        <f>SUM(N26:N29)</f>
        <v>353577453.33000004</v>
      </c>
      <c r="O25" s="98">
        <f t="shared" si="6"/>
        <v>10.933130900742116</v>
      </c>
      <c r="P25" s="213">
        <f>SUM(P26:P29)</f>
        <v>362250409.59999996</v>
      </c>
      <c r="Q25" s="98">
        <f t="shared" si="7"/>
        <v>11.503664960304857</v>
      </c>
      <c r="R25" s="213">
        <f>SUM(R26:R29)</f>
        <v>398494284.19</v>
      </c>
      <c r="S25" s="98">
        <f t="shared" si="8"/>
        <v>11.94565011364196</v>
      </c>
      <c r="T25" s="189">
        <v>397823173.70918262</v>
      </c>
      <c r="U25" s="98">
        <f t="shared" si="2"/>
        <v>11.314147410286179</v>
      </c>
      <c r="V25" s="96"/>
      <c r="W25" s="96"/>
      <c r="X25" s="96"/>
      <c r="Y25" s="96"/>
      <c r="Z25" s="189" t="e">
        <f>+#REF!</f>
        <v>#REF!</v>
      </c>
      <c r="AA25" s="98" t="e">
        <f>+#REF!</f>
        <v>#REF!</v>
      </c>
      <c r="AB25" s="189" t="e">
        <f>+#REF!</f>
        <v>#REF!</v>
      </c>
      <c r="AC25" s="98" t="e">
        <f>+#REF!</f>
        <v>#REF!</v>
      </c>
      <c r="AD25" s="189" t="e">
        <f>+#REF!</f>
        <v>#REF!</v>
      </c>
      <c r="AE25" s="98" t="e">
        <f>+#REF!</f>
        <v>#REF!</v>
      </c>
      <c r="AF25" s="190" t="e">
        <f>+#REF!</f>
        <v>#REF!</v>
      </c>
      <c r="AG25" s="189" t="e">
        <f>+#REF!</f>
        <v>#REF!</v>
      </c>
      <c r="AH25" s="98" t="e">
        <f>+#REF!</f>
        <v>#REF!</v>
      </c>
      <c r="AI25" s="189" t="e">
        <f>+#REF!</f>
        <v>#REF!</v>
      </c>
      <c r="AJ25" s="98" t="e">
        <f>+#REF!</f>
        <v>#REF!</v>
      </c>
      <c r="AK25" s="190" t="e">
        <f>+#REF!</f>
        <v>#REF!</v>
      </c>
      <c r="AL25" s="189" t="e">
        <f>+#REF!</f>
        <v>#REF!</v>
      </c>
      <c r="AM25" s="98" t="e">
        <f>+#REF!</f>
        <v>#REF!</v>
      </c>
      <c r="AN25" s="189" t="e">
        <f>+#REF!</f>
        <v>#REF!</v>
      </c>
      <c r="AO25" s="98" t="e">
        <f>+#REF!</f>
        <v>#REF!</v>
      </c>
      <c r="AQ25" s="102"/>
      <c r="AR25" s="106"/>
      <c r="AS25" s="106"/>
      <c r="AT25" s="106"/>
      <c r="AU25" s="106"/>
      <c r="AV25" s="107"/>
      <c r="AW25" s="81"/>
      <c r="AX25" s="81"/>
      <c r="AY25" s="81"/>
      <c r="AZ25" s="81"/>
      <c r="BA25" s="81"/>
      <c r="BB25" s="81"/>
      <c r="BC25" s="81"/>
      <c r="BD25" s="81"/>
      <c r="BE25" s="81"/>
      <c r="BF25" s="81"/>
      <c r="BG25" s="81"/>
      <c r="BH25" s="81"/>
      <c r="BI25" s="81"/>
      <c r="DU25" s="174"/>
      <c r="DV25" s="174"/>
      <c r="DW25" s="81"/>
    </row>
    <row r="26" spans="1:127" ht="15" customHeight="1">
      <c r="A26" s="259"/>
      <c r="B26" s="259">
        <v>7121</v>
      </c>
      <c r="C26" s="99" t="str">
        <f>IF(MasterSheet!$A$1=1,MasterSheet!C82,MasterSheet!B82)</f>
        <v>Doprinosi za penzijsko i invalidsko osiguranje</v>
      </c>
      <c r="D26" s="100">
        <v>138179769.16</v>
      </c>
      <c r="E26" s="101">
        <f t="shared" si="0"/>
        <v>6.4302559058122766</v>
      </c>
      <c r="F26" s="100">
        <v>173517241.65000001</v>
      </c>
      <c r="G26" s="101">
        <f t="shared" si="1"/>
        <v>6.473316233911584</v>
      </c>
      <c r="H26" s="100">
        <v>213850904.31999999</v>
      </c>
      <c r="I26" s="101">
        <f t="shared" si="3"/>
        <v>6.9306100700025919</v>
      </c>
      <c r="J26" s="100">
        <v>199510659.24000001</v>
      </c>
      <c r="K26" s="101">
        <f t="shared" si="4"/>
        <v>6.6927426782958737</v>
      </c>
      <c r="L26" s="100">
        <v>233496116.37</v>
      </c>
      <c r="M26" s="101">
        <f t="shared" si="5"/>
        <v>7.5224264294458765</v>
      </c>
      <c r="N26" s="100">
        <v>213452220.68000001</v>
      </c>
      <c r="O26" s="101">
        <f t="shared" si="6"/>
        <v>6.6002541954236245</v>
      </c>
      <c r="P26" s="193">
        <v>216501675.27000001</v>
      </c>
      <c r="Q26" s="101">
        <f t="shared" si="7"/>
        <v>6.8752516757700857</v>
      </c>
      <c r="R26" s="193">
        <v>241949355.72999999</v>
      </c>
      <c r="S26" s="101">
        <f t="shared" si="8"/>
        <v>7.2529079172277937</v>
      </c>
      <c r="T26" s="193">
        <v>234882396.70208701</v>
      </c>
      <c r="U26" s="101">
        <f t="shared" si="2"/>
        <v>6.6800886323213922</v>
      </c>
      <c r="V26" s="192">
        <v>10000000</v>
      </c>
      <c r="W26" s="192">
        <v>2361676.37</v>
      </c>
      <c r="X26" s="192"/>
      <c r="Y26" s="192"/>
      <c r="Z26" s="193" t="e">
        <f>+#REF!</f>
        <v>#REF!</v>
      </c>
      <c r="AA26" s="101" t="e">
        <f>+#REF!</f>
        <v>#REF!</v>
      </c>
      <c r="AB26" s="193" t="e">
        <f>+#REF!</f>
        <v>#REF!</v>
      </c>
      <c r="AC26" s="101" t="e">
        <f>+#REF!</f>
        <v>#REF!</v>
      </c>
      <c r="AD26" s="193" t="e">
        <f>+#REF!</f>
        <v>#REF!</v>
      </c>
      <c r="AE26" s="101" t="e">
        <f>+#REF!</f>
        <v>#REF!</v>
      </c>
      <c r="AF26" s="194" t="e">
        <f>+#REF!</f>
        <v>#REF!</v>
      </c>
      <c r="AG26" s="193" t="e">
        <f>+#REF!</f>
        <v>#REF!</v>
      </c>
      <c r="AH26" s="101" t="e">
        <f>+#REF!</f>
        <v>#REF!</v>
      </c>
      <c r="AI26" s="193" t="e">
        <f>+#REF!</f>
        <v>#REF!</v>
      </c>
      <c r="AJ26" s="101" t="e">
        <f>+#REF!</f>
        <v>#REF!</v>
      </c>
      <c r="AK26" s="194" t="e">
        <f>+#REF!</f>
        <v>#REF!</v>
      </c>
      <c r="AL26" s="193" t="e">
        <f>+#REF!</f>
        <v>#REF!</v>
      </c>
      <c r="AM26" s="101" t="e">
        <f>+#REF!</f>
        <v>#REF!</v>
      </c>
      <c r="AN26" s="193" t="e">
        <f>+#REF!</f>
        <v>#REF!</v>
      </c>
      <c r="AO26" s="101" t="e">
        <f>+#REF!</f>
        <v>#REF!</v>
      </c>
      <c r="AQ26" s="102"/>
      <c r="AR26" s="106"/>
      <c r="AS26" s="106"/>
      <c r="AT26" s="106"/>
      <c r="AU26" s="106"/>
      <c r="AV26" s="107"/>
      <c r="AW26" s="81"/>
      <c r="AX26" s="81"/>
      <c r="AY26" s="81"/>
      <c r="AZ26" s="81"/>
      <c r="BA26" s="81"/>
      <c r="BB26" s="81"/>
      <c r="BC26" s="81"/>
      <c r="BD26" s="81"/>
      <c r="BE26" s="81"/>
      <c r="BF26" s="81"/>
      <c r="BG26" s="81"/>
      <c r="BH26" s="81"/>
      <c r="BI26" s="81"/>
      <c r="DU26" s="174"/>
      <c r="DV26" s="174"/>
      <c r="DW26" s="81"/>
    </row>
    <row r="27" spans="1:127" ht="15" customHeight="1">
      <c r="A27" s="259"/>
      <c r="B27" s="259">
        <v>7122</v>
      </c>
      <c r="C27" s="99" t="str">
        <f>IF(MasterSheet!$A$1=1,MasterSheet!C83,MasterSheet!B83)</f>
        <v>Doprinosi za zdravstveno osiguranje</v>
      </c>
      <c r="D27" s="100">
        <v>110592983</v>
      </c>
      <c r="E27" s="101">
        <f t="shared" si="0"/>
        <v>5.1464927637395883</v>
      </c>
      <c r="F27" s="100">
        <v>125446267</v>
      </c>
      <c r="G27" s="101">
        <f t="shared" si="1"/>
        <v>4.6799577317664616</v>
      </c>
      <c r="H27" s="100">
        <v>115860488.59999999</v>
      </c>
      <c r="I27" s="101">
        <f t="shared" si="3"/>
        <v>3.7548771260046667</v>
      </c>
      <c r="J27" s="100">
        <v>97587762.519999996</v>
      </c>
      <c r="K27" s="101">
        <f t="shared" si="4"/>
        <v>3.2736585883931566</v>
      </c>
      <c r="L27" s="100">
        <v>129895634.22</v>
      </c>
      <c r="M27" s="101">
        <f t="shared" si="5"/>
        <v>4.1847820302835048</v>
      </c>
      <c r="N27" s="100">
        <v>120890439.24000001</v>
      </c>
      <c r="O27" s="101">
        <f t="shared" si="6"/>
        <v>3.7381088200371062</v>
      </c>
      <c r="P27" s="193">
        <v>125738855</v>
      </c>
      <c r="Q27" s="101">
        <f t="shared" si="7"/>
        <v>3.9929772943791679</v>
      </c>
      <c r="R27" s="193">
        <v>134703897.09</v>
      </c>
      <c r="S27" s="101">
        <f t="shared" si="8"/>
        <v>4.038014313936686</v>
      </c>
      <c r="T27" s="193">
        <v>138667298.82084399</v>
      </c>
      <c r="U27" s="101">
        <f t="shared" si="2"/>
        <v>3.9437176201106214</v>
      </c>
      <c r="V27" s="192">
        <v>1600000</v>
      </c>
      <c r="W27" s="192">
        <v>1394260.65</v>
      </c>
      <c r="X27" s="192"/>
      <c r="Y27" s="192"/>
      <c r="Z27" s="193" t="e">
        <f>+#REF!</f>
        <v>#REF!</v>
      </c>
      <c r="AA27" s="101" t="e">
        <f>+#REF!</f>
        <v>#REF!</v>
      </c>
      <c r="AB27" s="193" t="e">
        <f>+#REF!</f>
        <v>#REF!</v>
      </c>
      <c r="AC27" s="101" t="e">
        <f>+#REF!</f>
        <v>#REF!</v>
      </c>
      <c r="AD27" s="193" t="e">
        <f>+#REF!</f>
        <v>#REF!</v>
      </c>
      <c r="AE27" s="101" t="e">
        <f>+#REF!</f>
        <v>#REF!</v>
      </c>
      <c r="AF27" s="194" t="e">
        <f>+#REF!</f>
        <v>#REF!</v>
      </c>
      <c r="AG27" s="193" t="e">
        <f>+#REF!</f>
        <v>#REF!</v>
      </c>
      <c r="AH27" s="101" t="e">
        <f>+#REF!</f>
        <v>#REF!</v>
      </c>
      <c r="AI27" s="193" t="e">
        <f>+#REF!</f>
        <v>#REF!</v>
      </c>
      <c r="AJ27" s="101" t="e">
        <f>+#REF!</f>
        <v>#REF!</v>
      </c>
      <c r="AK27" s="194" t="e">
        <f>+#REF!</f>
        <v>#REF!</v>
      </c>
      <c r="AL27" s="193" t="e">
        <f>+#REF!</f>
        <v>#REF!</v>
      </c>
      <c r="AM27" s="101" t="e">
        <f>+#REF!</f>
        <v>#REF!</v>
      </c>
      <c r="AN27" s="193" t="e">
        <f>+#REF!</f>
        <v>#REF!</v>
      </c>
      <c r="AO27" s="101" t="e">
        <f>+#REF!</f>
        <v>#REF!</v>
      </c>
      <c r="AQ27" s="102"/>
      <c r="AR27" s="106"/>
      <c r="AS27" s="106"/>
      <c r="AT27" s="106"/>
      <c r="AU27" s="106"/>
      <c r="AV27" s="107"/>
      <c r="AW27" s="81"/>
      <c r="AX27" s="81"/>
      <c r="AY27" s="81"/>
      <c r="AZ27" s="81"/>
      <c r="BA27" s="81"/>
      <c r="BB27" s="81"/>
      <c r="BC27" s="81"/>
      <c r="BD27" s="81"/>
      <c r="BE27" s="81"/>
      <c r="BF27" s="81"/>
      <c r="BG27" s="81"/>
      <c r="BH27" s="81"/>
      <c r="BI27" s="81"/>
      <c r="DU27" s="174"/>
      <c r="DV27" s="174"/>
      <c r="DW27" s="81"/>
    </row>
    <row r="28" spans="1:127" ht="15" customHeight="1">
      <c r="A28" s="259"/>
      <c r="B28" s="259">
        <v>7123</v>
      </c>
      <c r="C28" s="99" t="str">
        <f>IF(MasterSheet!$A$1=1,MasterSheet!C84,MasterSheet!B84)</f>
        <v>Doprinosi za osiguranje od nezaposlenosti</v>
      </c>
      <c r="D28" s="100">
        <v>6384379.9699999997</v>
      </c>
      <c r="E28" s="101">
        <f t="shared" si="0"/>
        <v>0.29709991018660709</v>
      </c>
      <c r="F28" s="100">
        <v>7824299.6800000006</v>
      </c>
      <c r="G28" s="101">
        <f t="shared" si="1"/>
        <v>0.29189702219735131</v>
      </c>
      <c r="H28" s="100">
        <v>10201238.92</v>
      </c>
      <c r="I28" s="101">
        <f t="shared" si="3"/>
        <v>0.33060795047964742</v>
      </c>
      <c r="J28" s="100">
        <v>10445930.57</v>
      </c>
      <c r="K28" s="101">
        <f t="shared" si="4"/>
        <v>0.35041699329084197</v>
      </c>
      <c r="L28" s="100">
        <v>10149691.789999999</v>
      </c>
      <c r="M28" s="101">
        <f t="shared" si="5"/>
        <v>0.32698749323453608</v>
      </c>
      <c r="N28" s="100">
        <v>10764704.380000001</v>
      </c>
      <c r="O28" s="101">
        <f t="shared" si="6"/>
        <v>0.33286037043908479</v>
      </c>
      <c r="P28" s="193">
        <v>9987592.2599999998</v>
      </c>
      <c r="Q28" s="101">
        <f t="shared" si="7"/>
        <v>0.31716710892346772</v>
      </c>
      <c r="R28" s="193">
        <v>10770190.189999999</v>
      </c>
      <c r="S28" s="101">
        <f t="shared" si="8"/>
        <v>0.32285763879558199</v>
      </c>
      <c r="T28" s="193">
        <v>11617385.520490499</v>
      </c>
      <c r="U28" s="101">
        <f t="shared" si="2"/>
        <v>0.33040008975706336</v>
      </c>
      <c r="V28" s="192"/>
      <c r="W28" s="192">
        <v>116809.54</v>
      </c>
      <c r="X28" s="192"/>
      <c r="Y28" s="192"/>
      <c r="Z28" s="193" t="e">
        <f>+#REF!</f>
        <v>#REF!</v>
      </c>
      <c r="AA28" s="101" t="e">
        <f>+#REF!</f>
        <v>#REF!</v>
      </c>
      <c r="AB28" s="193" t="e">
        <f>+#REF!</f>
        <v>#REF!</v>
      </c>
      <c r="AC28" s="101" t="e">
        <f>+#REF!</f>
        <v>#REF!</v>
      </c>
      <c r="AD28" s="193" t="e">
        <f>+#REF!</f>
        <v>#REF!</v>
      </c>
      <c r="AE28" s="101" t="e">
        <f>+#REF!</f>
        <v>#REF!</v>
      </c>
      <c r="AF28" s="194" t="e">
        <f>+#REF!</f>
        <v>#REF!</v>
      </c>
      <c r="AG28" s="193" t="e">
        <f>+#REF!</f>
        <v>#REF!</v>
      </c>
      <c r="AH28" s="101" t="e">
        <f>+#REF!</f>
        <v>#REF!</v>
      </c>
      <c r="AI28" s="193" t="e">
        <f>+#REF!</f>
        <v>#REF!</v>
      </c>
      <c r="AJ28" s="101" t="e">
        <f>+#REF!</f>
        <v>#REF!</v>
      </c>
      <c r="AK28" s="194" t="e">
        <f>+#REF!</f>
        <v>#REF!</v>
      </c>
      <c r="AL28" s="193" t="e">
        <f>+#REF!</f>
        <v>#REF!</v>
      </c>
      <c r="AM28" s="101" t="e">
        <f>+#REF!</f>
        <v>#REF!</v>
      </c>
      <c r="AN28" s="193" t="e">
        <f>+#REF!</f>
        <v>#REF!</v>
      </c>
      <c r="AO28" s="101" t="e">
        <f>+#REF!</f>
        <v>#REF!</v>
      </c>
      <c r="AQ28" s="102"/>
      <c r="AR28" s="106"/>
      <c r="AS28" s="103"/>
      <c r="AT28" s="103"/>
      <c r="AU28" s="103"/>
      <c r="AV28" s="107"/>
      <c r="AW28" s="81"/>
      <c r="AX28" s="81"/>
      <c r="AY28" s="81"/>
      <c r="AZ28" s="81"/>
      <c r="BA28" s="81"/>
      <c r="BB28" s="81"/>
      <c r="BC28" s="81"/>
      <c r="BD28" s="81"/>
      <c r="BE28" s="81"/>
      <c r="BF28" s="81"/>
      <c r="BG28" s="81"/>
      <c r="BH28" s="81"/>
      <c r="BI28" s="81"/>
      <c r="DU28" s="174"/>
      <c r="DV28" s="174"/>
      <c r="DW28" s="81"/>
    </row>
    <row r="29" spans="1:127" ht="15" customHeight="1">
      <c r="A29" s="259"/>
      <c r="B29" s="259">
        <v>7124</v>
      </c>
      <c r="C29" s="99" t="str">
        <f>IF(MasterSheet!$A$1=1,MasterSheet!C85,MasterSheet!B85)</f>
        <v>Ostali doprinosi</v>
      </c>
      <c r="D29" s="100"/>
      <c r="E29" s="101">
        <f t="shared" si="0"/>
        <v>0</v>
      </c>
      <c r="F29" s="100"/>
      <c r="G29" s="101">
        <f t="shared" si="1"/>
        <v>0</v>
      </c>
      <c r="H29" s="100"/>
      <c r="I29" s="101">
        <f t="shared" si="3"/>
        <v>0</v>
      </c>
      <c r="J29" s="100"/>
      <c r="K29" s="101">
        <f t="shared" si="4"/>
        <v>0</v>
      </c>
      <c r="L29" s="100">
        <v>6215554.0999999996</v>
      </c>
      <c r="M29" s="101">
        <f t="shared" si="5"/>
        <v>0.20024336662371134</v>
      </c>
      <c r="N29" s="100">
        <v>8470089.0300000012</v>
      </c>
      <c r="O29" s="101">
        <f t="shared" si="6"/>
        <v>0.26190751484230057</v>
      </c>
      <c r="P29" s="193">
        <v>10022287.07</v>
      </c>
      <c r="Q29" s="101">
        <f t="shared" si="7"/>
        <v>0.3182688812321372</v>
      </c>
      <c r="R29" s="193">
        <v>11070841.180000002</v>
      </c>
      <c r="S29" s="101">
        <f t="shared" si="8"/>
        <v>0.33187024368189877</v>
      </c>
      <c r="T29" s="191">
        <v>12656092.6657611</v>
      </c>
      <c r="U29" s="101">
        <f t="shared" si="2"/>
        <v>0.3599410680971038</v>
      </c>
      <c r="V29" s="192"/>
      <c r="W29" s="192">
        <v>127253.45</v>
      </c>
      <c r="X29" s="192"/>
      <c r="Y29" s="192"/>
      <c r="Z29" s="193" t="e">
        <f>+#REF!</f>
        <v>#REF!</v>
      </c>
      <c r="AA29" s="101" t="e">
        <f>+#REF!</f>
        <v>#REF!</v>
      </c>
      <c r="AB29" s="193" t="e">
        <f>+#REF!</f>
        <v>#REF!</v>
      </c>
      <c r="AC29" s="101" t="e">
        <f>+#REF!</f>
        <v>#REF!</v>
      </c>
      <c r="AD29" s="193" t="e">
        <f>+#REF!</f>
        <v>#REF!</v>
      </c>
      <c r="AE29" s="101" t="e">
        <f>+#REF!</f>
        <v>#REF!</v>
      </c>
      <c r="AF29" s="194" t="e">
        <f>+#REF!</f>
        <v>#REF!</v>
      </c>
      <c r="AG29" s="193" t="e">
        <f>+#REF!</f>
        <v>#REF!</v>
      </c>
      <c r="AH29" s="101" t="e">
        <f>+#REF!</f>
        <v>#REF!</v>
      </c>
      <c r="AI29" s="193" t="e">
        <f>+#REF!</f>
        <v>#REF!</v>
      </c>
      <c r="AJ29" s="101" t="e">
        <f>+#REF!</f>
        <v>#REF!</v>
      </c>
      <c r="AK29" s="194" t="e">
        <f>+#REF!</f>
        <v>#REF!</v>
      </c>
      <c r="AL29" s="193" t="e">
        <f>+#REF!</f>
        <v>#REF!</v>
      </c>
      <c r="AM29" s="101" t="e">
        <f>+#REF!</f>
        <v>#REF!</v>
      </c>
      <c r="AN29" s="193" t="e">
        <f>+#REF!</f>
        <v>#REF!</v>
      </c>
      <c r="AO29" s="101" t="e">
        <f>+#REF!</f>
        <v>#REF!</v>
      </c>
      <c r="AQ29" s="102"/>
      <c r="AR29" s="106"/>
      <c r="AS29" s="103"/>
      <c r="AT29" s="103"/>
      <c r="AU29" s="103"/>
      <c r="AV29" s="107"/>
      <c r="AW29" s="81"/>
      <c r="AX29" s="81"/>
      <c r="AY29" s="81"/>
      <c r="AZ29" s="81"/>
      <c r="BA29" s="81"/>
      <c r="BB29" s="81"/>
      <c r="BC29" s="81"/>
      <c r="BD29" s="81"/>
      <c r="BE29" s="81"/>
      <c r="BF29" s="81"/>
      <c r="BG29" s="81"/>
      <c r="BH29" s="81"/>
      <c r="BI29" s="81"/>
      <c r="DU29" s="81"/>
      <c r="DV29" s="81"/>
      <c r="DW29" s="81"/>
    </row>
    <row r="30" spans="1:127" ht="15" customHeight="1">
      <c r="A30" s="259"/>
      <c r="B30" s="259">
        <v>713</v>
      </c>
      <c r="C30" s="94" t="str">
        <f>IF(MasterSheet!$A$1=1,MasterSheet!C86,MasterSheet!B86)</f>
        <v>Takse</v>
      </c>
      <c r="D30" s="95">
        <f>SUM(D31:D34)</f>
        <v>15777845.709999993</v>
      </c>
      <c r="E30" s="98">
        <f t="shared" si="0"/>
        <v>0.73422894085345958</v>
      </c>
      <c r="F30" s="95">
        <f>SUM(F31:F34)</f>
        <v>21847073.970000003</v>
      </c>
      <c r="G30" s="98">
        <f t="shared" si="1"/>
        <v>0.81503726804700616</v>
      </c>
      <c r="H30" s="95">
        <f>SUM(H31:H34)</f>
        <v>26594093.5</v>
      </c>
      <c r="I30" s="98">
        <f t="shared" si="3"/>
        <v>0.86187754407570649</v>
      </c>
      <c r="J30" s="95">
        <f>SUM(J31:J34)</f>
        <v>22516562.169999998</v>
      </c>
      <c r="K30" s="98">
        <f t="shared" si="4"/>
        <v>0.75533586615229786</v>
      </c>
      <c r="L30" s="95">
        <f>SUM(L31:L34)</f>
        <v>20544226.239999998</v>
      </c>
      <c r="M30" s="98">
        <f t="shared" si="5"/>
        <v>0.66186295876288659</v>
      </c>
      <c r="N30" s="95">
        <f>SUM(N31:N34)</f>
        <v>16011669.92</v>
      </c>
      <c r="O30" s="98">
        <f t="shared" si="6"/>
        <v>0.49510420284477424</v>
      </c>
      <c r="P30" s="189">
        <f>SUM(P31:P34)</f>
        <v>17998206.289999999</v>
      </c>
      <c r="Q30" s="98">
        <f t="shared" si="7"/>
        <v>0.57155307367418229</v>
      </c>
      <c r="R30" s="189">
        <f>SUM(R31:R34)</f>
        <v>27069458</v>
      </c>
      <c r="S30" s="98">
        <f t="shared" si="8"/>
        <v>0.81146025642804165</v>
      </c>
      <c r="T30" s="189">
        <v>20923047.198280636</v>
      </c>
      <c r="U30" s="98">
        <f t="shared" si="2"/>
        <v>0.59505442598166625</v>
      </c>
      <c r="V30" s="96"/>
      <c r="W30" s="96"/>
      <c r="X30" s="96"/>
      <c r="Y30" s="96"/>
      <c r="Z30" s="189" t="e">
        <f>+#REF!</f>
        <v>#REF!</v>
      </c>
      <c r="AA30" s="98" t="e">
        <f>+#REF!</f>
        <v>#REF!</v>
      </c>
      <c r="AB30" s="189" t="e">
        <f>+#REF!</f>
        <v>#REF!</v>
      </c>
      <c r="AC30" s="98" t="e">
        <f>+#REF!</f>
        <v>#REF!</v>
      </c>
      <c r="AD30" s="189" t="e">
        <f>+#REF!</f>
        <v>#REF!</v>
      </c>
      <c r="AE30" s="98" t="e">
        <f>+#REF!</f>
        <v>#REF!</v>
      </c>
      <c r="AF30" s="190" t="e">
        <f>+#REF!</f>
        <v>#REF!</v>
      </c>
      <c r="AG30" s="189" t="e">
        <f>+#REF!</f>
        <v>#REF!</v>
      </c>
      <c r="AH30" s="98" t="e">
        <f>+#REF!</f>
        <v>#REF!</v>
      </c>
      <c r="AI30" s="189" t="e">
        <f>+#REF!</f>
        <v>#REF!</v>
      </c>
      <c r="AJ30" s="98" t="e">
        <f>+#REF!</f>
        <v>#REF!</v>
      </c>
      <c r="AK30" s="190" t="e">
        <f>+#REF!</f>
        <v>#REF!</v>
      </c>
      <c r="AL30" s="189" t="e">
        <f>+#REF!</f>
        <v>#REF!</v>
      </c>
      <c r="AM30" s="98" t="e">
        <f>+#REF!</f>
        <v>#REF!</v>
      </c>
      <c r="AN30" s="189" t="e">
        <f>+#REF!</f>
        <v>#REF!</v>
      </c>
      <c r="AO30" s="98" t="e">
        <f>+#REF!</f>
        <v>#REF!</v>
      </c>
      <c r="AQ30" s="102"/>
      <c r="AR30" s="106"/>
      <c r="AS30" s="103"/>
      <c r="AT30" s="103"/>
      <c r="AU30" s="103"/>
      <c r="AV30" s="107"/>
      <c r="AW30" s="81"/>
      <c r="AX30" s="81"/>
      <c r="AY30" s="81"/>
      <c r="AZ30" s="81"/>
      <c r="BA30" s="81"/>
      <c r="BB30" s="81"/>
      <c r="BC30" s="81"/>
      <c r="BD30" s="81"/>
      <c r="BE30" s="81"/>
      <c r="BF30" s="81"/>
      <c r="BG30" s="81"/>
      <c r="BH30" s="81"/>
      <c r="BI30" s="81"/>
      <c r="DU30" s="81"/>
      <c r="DV30" s="81"/>
      <c r="DW30" s="81"/>
    </row>
    <row r="31" spans="1:127" ht="15" customHeight="1">
      <c r="A31" s="259"/>
      <c r="B31" s="259">
        <v>7131</v>
      </c>
      <c r="C31" s="99" t="str">
        <f>IF(MasterSheet!$A$1=1,MasterSheet!C87,MasterSheet!B87)</f>
        <v>Administrativne takse</v>
      </c>
      <c r="D31" s="100">
        <v>7506509.4799999958</v>
      </c>
      <c r="E31" s="101">
        <f t="shared" si="0"/>
        <v>0.34931869700777124</v>
      </c>
      <c r="F31" s="100">
        <v>9153048.3600000013</v>
      </c>
      <c r="G31" s="101">
        <f t="shared" si="1"/>
        <v>0.34146794851706774</v>
      </c>
      <c r="H31" s="100">
        <v>18319319.420000002</v>
      </c>
      <c r="I31" s="101">
        <f t="shared" si="3"/>
        <v>0.59370363689395911</v>
      </c>
      <c r="J31" s="100">
        <v>14744246.369999999</v>
      </c>
      <c r="K31" s="101">
        <f t="shared" si="4"/>
        <v>0.49460739248574298</v>
      </c>
      <c r="L31" s="100">
        <v>13257206.299999997</v>
      </c>
      <c r="M31" s="101">
        <f t="shared" si="5"/>
        <v>0.42710071842783498</v>
      </c>
      <c r="N31" s="100">
        <v>10724280.77</v>
      </c>
      <c r="O31" s="101">
        <f t="shared" si="6"/>
        <v>0.33161041341991337</v>
      </c>
      <c r="P31" s="193">
        <v>8544481.8000000007</v>
      </c>
      <c r="Q31" s="101">
        <f t="shared" si="7"/>
        <v>0.27133953000952682</v>
      </c>
      <c r="R31" s="193">
        <v>7881462.9399999995</v>
      </c>
      <c r="S31" s="101">
        <f t="shared" si="8"/>
        <v>0.23626235657620134</v>
      </c>
      <c r="T31" s="193">
        <v>8144616.5029747505</v>
      </c>
      <c r="U31" s="101">
        <f t="shared" si="2"/>
        <v>0.23163404699563594</v>
      </c>
      <c r="V31" s="192"/>
      <c r="W31" s="192"/>
      <c r="X31" s="192"/>
      <c r="Y31" s="192"/>
      <c r="Z31" s="193" t="e">
        <f>+#REF!</f>
        <v>#REF!</v>
      </c>
      <c r="AA31" s="101" t="e">
        <f>+#REF!</f>
        <v>#REF!</v>
      </c>
      <c r="AB31" s="193" t="e">
        <f>+#REF!</f>
        <v>#REF!</v>
      </c>
      <c r="AC31" s="101" t="e">
        <f>+#REF!</f>
        <v>#REF!</v>
      </c>
      <c r="AD31" s="193" t="e">
        <f>+#REF!</f>
        <v>#REF!</v>
      </c>
      <c r="AE31" s="101" t="e">
        <f>+#REF!</f>
        <v>#REF!</v>
      </c>
      <c r="AF31" s="194" t="e">
        <f>+#REF!</f>
        <v>#REF!</v>
      </c>
      <c r="AG31" s="193" t="e">
        <f>+#REF!</f>
        <v>#REF!</v>
      </c>
      <c r="AH31" s="101" t="e">
        <f>+#REF!</f>
        <v>#REF!</v>
      </c>
      <c r="AI31" s="193" t="e">
        <f>+#REF!</f>
        <v>#REF!</v>
      </c>
      <c r="AJ31" s="101" t="e">
        <f>+#REF!</f>
        <v>#REF!</v>
      </c>
      <c r="AK31" s="194" t="e">
        <f>+#REF!</f>
        <v>#REF!</v>
      </c>
      <c r="AL31" s="193" t="e">
        <f>+#REF!</f>
        <v>#REF!</v>
      </c>
      <c r="AM31" s="101" t="e">
        <f>+#REF!</f>
        <v>#REF!</v>
      </c>
      <c r="AN31" s="193" t="e">
        <f>+#REF!</f>
        <v>#REF!</v>
      </c>
      <c r="AO31" s="101" t="e">
        <f>+#REF!</f>
        <v>#REF!</v>
      </c>
      <c r="AQ31" s="102"/>
      <c r="AR31" s="106"/>
      <c r="AS31" s="103"/>
      <c r="AT31" s="103"/>
      <c r="AU31" s="103"/>
      <c r="AV31" s="107"/>
      <c r="AW31" s="81"/>
      <c r="AX31" s="81"/>
      <c r="AY31" s="81"/>
      <c r="AZ31" s="81"/>
      <c r="BA31" s="81"/>
      <c r="BB31" s="81"/>
      <c r="BC31" s="81"/>
      <c r="BD31" s="81"/>
      <c r="BE31" s="81"/>
      <c r="BF31" s="81"/>
      <c r="BG31" s="81"/>
      <c r="BH31" s="81"/>
      <c r="BI31" s="81"/>
      <c r="DU31" s="81"/>
      <c r="DV31" s="81"/>
      <c r="DW31" s="81"/>
    </row>
    <row r="32" spans="1:127" ht="15" customHeight="1">
      <c r="A32" s="259"/>
      <c r="B32" s="259">
        <v>7132</v>
      </c>
      <c r="C32" s="99" t="str">
        <f>IF(MasterSheet!$A$1=1,MasterSheet!C88,MasterSheet!B88)</f>
        <v>Sudske takse</v>
      </c>
      <c r="D32" s="100">
        <v>6027790.6899999976</v>
      </c>
      <c r="E32" s="101">
        <f t="shared" si="0"/>
        <v>0.28050587230676149</v>
      </c>
      <c r="F32" s="100">
        <v>8663338.5800000001</v>
      </c>
      <c r="G32" s="101">
        <f t="shared" si="1"/>
        <v>0.32319860399179257</v>
      </c>
      <c r="H32" s="100">
        <v>7688705.0099999998</v>
      </c>
      <c r="I32" s="101">
        <f t="shared" si="3"/>
        <v>0.24918022459165154</v>
      </c>
      <c r="J32" s="100">
        <v>6834686.9299999997</v>
      </c>
      <c r="K32" s="101">
        <f t="shared" si="4"/>
        <v>0.22927497249245221</v>
      </c>
      <c r="L32" s="100">
        <v>6236916.9700000007</v>
      </c>
      <c r="M32" s="101">
        <f t="shared" si="5"/>
        <v>0.20093160341494845</v>
      </c>
      <c r="N32" s="100">
        <v>3918273.44</v>
      </c>
      <c r="O32" s="101">
        <f t="shared" si="6"/>
        <v>0.12115873345701918</v>
      </c>
      <c r="P32" s="193">
        <v>3475076.76</v>
      </c>
      <c r="Q32" s="101">
        <f t="shared" si="7"/>
        <v>0.11035493045411242</v>
      </c>
      <c r="R32" s="193">
        <v>4557791.26</v>
      </c>
      <c r="S32" s="101">
        <f t="shared" si="8"/>
        <v>0.13662875941531916</v>
      </c>
      <c r="T32" s="193">
        <v>3676083.5729169641</v>
      </c>
      <c r="U32" s="101">
        <f t="shared" si="2"/>
        <v>0.10454833751569864</v>
      </c>
      <c r="V32" s="192">
        <v>1500000</v>
      </c>
      <c r="W32" s="192"/>
      <c r="X32" s="192"/>
      <c r="Y32" s="192"/>
      <c r="Z32" s="193" t="e">
        <f>+#REF!</f>
        <v>#REF!</v>
      </c>
      <c r="AA32" s="101" t="e">
        <f>+#REF!</f>
        <v>#REF!</v>
      </c>
      <c r="AB32" s="193" t="e">
        <f>+#REF!</f>
        <v>#REF!</v>
      </c>
      <c r="AC32" s="101" t="e">
        <f>+#REF!</f>
        <v>#REF!</v>
      </c>
      <c r="AD32" s="193" t="e">
        <f>+#REF!</f>
        <v>#REF!</v>
      </c>
      <c r="AE32" s="101" t="e">
        <f>+#REF!</f>
        <v>#REF!</v>
      </c>
      <c r="AF32" s="194" t="e">
        <f>+#REF!</f>
        <v>#REF!</v>
      </c>
      <c r="AG32" s="193" t="e">
        <f>+#REF!</f>
        <v>#REF!</v>
      </c>
      <c r="AH32" s="101" t="e">
        <f>+#REF!</f>
        <v>#REF!</v>
      </c>
      <c r="AI32" s="193" t="e">
        <f>+#REF!</f>
        <v>#REF!</v>
      </c>
      <c r="AJ32" s="101" t="e">
        <f>+#REF!</f>
        <v>#REF!</v>
      </c>
      <c r="AK32" s="194" t="e">
        <f>+#REF!</f>
        <v>#REF!</v>
      </c>
      <c r="AL32" s="193" t="e">
        <f>+#REF!</f>
        <v>#REF!</v>
      </c>
      <c r="AM32" s="101" t="e">
        <f>+#REF!</f>
        <v>#REF!</v>
      </c>
      <c r="AN32" s="193" t="e">
        <f>+#REF!</f>
        <v>#REF!</v>
      </c>
      <c r="AO32" s="101" t="e">
        <f>+#REF!</f>
        <v>#REF!</v>
      </c>
      <c r="AQ32" s="102"/>
      <c r="AR32" s="106"/>
      <c r="AS32" s="103"/>
      <c r="AT32" s="103"/>
      <c r="AU32" s="103"/>
      <c r="AV32" s="107"/>
      <c r="AW32" s="81"/>
      <c r="AX32" s="81"/>
      <c r="AY32" s="81"/>
      <c r="AZ32" s="81"/>
      <c r="BA32" s="81"/>
      <c r="BB32" s="81"/>
      <c r="BC32" s="81"/>
      <c r="BD32" s="81"/>
      <c r="BE32" s="81"/>
      <c r="BF32" s="81"/>
      <c r="BG32" s="81"/>
      <c r="BH32" s="81"/>
      <c r="BI32" s="81"/>
      <c r="DU32" s="174"/>
      <c r="DV32" s="174"/>
      <c r="DW32" s="174"/>
    </row>
    <row r="33" spans="1:130" ht="15" customHeight="1">
      <c r="A33" s="259"/>
      <c r="B33" s="259">
        <v>7133</v>
      </c>
      <c r="C33" s="99" t="str">
        <f>IF(MasterSheet!$A$1=1,MasterSheet!C89,MasterSheet!B89)</f>
        <v>Boravišne takse</v>
      </c>
      <c r="D33" s="100">
        <v>365979.02</v>
      </c>
      <c r="E33" s="101">
        <f t="shared" si="0"/>
        <v>1.7030993531574296E-2</v>
      </c>
      <c r="F33" s="100">
        <v>564651.91</v>
      </c>
      <c r="G33" s="101">
        <f t="shared" si="1"/>
        <v>2.1065171050177207E-2</v>
      </c>
      <c r="H33" s="100">
        <v>544318.97</v>
      </c>
      <c r="I33" s="101">
        <f t="shared" si="3"/>
        <v>1.76406199766658E-2</v>
      </c>
      <c r="J33" s="100">
        <v>409061.18</v>
      </c>
      <c r="K33" s="101">
        <f t="shared" si="4"/>
        <v>1.3722280442804427E-2</v>
      </c>
      <c r="L33" s="100">
        <v>449587.51</v>
      </c>
      <c r="M33" s="101">
        <f t="shared" si="5"/>
        <v>1.4484133698453607E-2</v>
      </c>
      <c r="N33" s="100">
        <v>553959.80999999994</v>
      </c>
      <c r="O33" s="101">
        <f t="shared" si="6"/>
        <v>1.7129245825602966E-2</v>
      </c>
      <c r="P33" s="193">
        <v>491975.95</v>
      </c>
      <c r="Q33" s="101">
        <f t="shared" si="7"/>
        <v>1.5623243886948239E-2</v>
      </c>
      <c r="R33" s="193">
        <v>767936.98999999987</v>
      </c>
      <c r="S33" s="101">
        <f t="shared" si="8"/>
        <v>2.3020422013103413E-2</v>
      </c>
      <c r="T33" s="193">
        <v>762511.44191594806</v>
      </c>
      <c r="U33" s="101">
        <f t="shared" si="2"/>
        <v>2.1685933414662142E-2</v>
      </c>
      <c r="V33" s="192"/>
      <c r="W33" s="192"/>
      <c r="X33" s="192"/>
      <c r="Y33" s="192"/>
      <c r="Z33" s="193" t="e">
        <f>+#REF!</f>
        <v>#REF!</v>
      </c>
      <c r="AA33" s="101" t="e">
        <f>+#REF!</f>
        <v>#REF!</v>
      </c>
      <c r="AB33" s="193" t="e">
        <f>+#REF!</f>
        <v>#REF!</v>
      </c>
      <c r="AC33" s="101" t="e">
        <f>+#REF!</f>
        <v>#REF!</v>
      </c>
      <c r="AD33" s="193" t="e">
        <f>+#REF!</f>
        <v>#REF!</v>
      </c>
      <c r="AE33" s="101" t="e">
        <f>+#REF!</f>
        <v>#REF!</v>
      </c>
      <c r="AF33" s="194" t="e">
        <f>+#REF!</f>
        <v>#REF!</v>
      </c>
      <c r="AG33" s="193" t="e">
        <f>+#REF!</f>
        <v>#REF!</v>
      </c>
      <c r="AH33" s="101" t="e">
        <f>+#REF!</f>
        <v>#REF!</v>
      </c>
      <c r="AI33" s="193" t="e">
        <f>+#REF!</f>
        <v>#REF!</v>
      </c>
      <c r="AJ33" s="101" t="e">
        <f>+#REF!</f>
        <v>#REF!</v>
      </c>
      <c r="AK33" s="194" t="e">
        <f>+#REF!</f>
        <v>#REF!</v>
      </c>
      <c r="AL33" s="193" t="e">
        <f>+#REF!</f>
        <v>#REF!</v>
      </c>
      <c r="AM33" s="101" t="e">
        <f>+#REF!</f>
        <v>#REF!</v>
      </c>
      <c r="AN33" s="193" t="e">
        <f>+#REF!</f>
        <v>#REF!</v>
      </c>
      <c r="AO33" s="101" t="e">
        <f>+#REF!</f>
        <v>#REF!</v>
      </c>
      <c r="AQ33" s="102"/>
      <c r="AR33" s="106"/>
      <c r="AS33" s="103"/>
      <c r="AT33" s="108"/>
      <c r="AU33" s="103"/>
      <c r="AV33" s="107"/>
      <c r="AW33" s="81"/>
      <c r="AX33" s="81"/>
      <c r="AY33" s="81"/>
      <c r="AZ33" s="81"/>
      <c r="BA33" s="81"/>
      <c r="BB33" s="81"/>
      <c r="BC33" s="81"/>
      <c r="BD33" s="81"/>
      <c r="BE33" s="81"/>
      <c r="BF33" s="81"/>
      <c r="BG33" s="81"/>
      <c r="BH33" s="81"/>
      <c r="BI33" s="81"/>
      <c r="DU33" s="174"/>
      <c r="DV33" s="174"/>
      <c r="DW33" s="174"/>
    </row>
    <row r="34" spans="1:130" ht="15" customHeight="1">
      <c r="A34" s="259"/>
      <c r="B34" s="259">
        <v>7136</v>
      </c>
      <c r="C34" s="99" t="str">
        <f>IF(MasterSheet!$A$1=1,MasterSheet!C90,MasterSheet!B90)</f>
        <v>Ostale takse</v>
      </c>
      <c r="D34" s="100">
        <v>1877566.52</v>
      </c>
      <c r="E34" s="101">
        <f t="shared" si="0"/>
        <v>8.7373378007352592E-2</v>
      </c>
      <c r="F34" s="100">
        <v>3466035.12</v>
      </c>
      <c r="G34" s="101">
        <f t="shared" si="1"/>
        <v>0.12930554448796866</v>
      </c>
      <c r="H34" s="100">
        <v>41750.1</v>
      </c>
      <c r="I34" s="101">
        <f t="shared" si="3"/>
        <v>1.3530626134301269E-3</v>
      </c>
      <c r="J34" s="100">
        <v>528567.68999999994</v>
      </c>
      <c r="K34" s="101">
        <f t="shared" si="4"/>
        <v>1.7731220731298222E-2</v>
      </c>
      <c r="L34" s="100">
        <v>600515.46</v>
      </c>
      <c r="M34" s="101">
        <f t="shared" si="5"/>
        <v>1.9346503221649484E-2</v>
      </c>
      <c r="N34" s="100">
        <v>815155.9</v>
      </c>
      <c r="O34" s="101">
        <f t="shared" si="6"/>
        <v>2.5205810142238712E-2</v>
      </c>
      <c r="P34" s="191">
        <v>5486671.7800000003</v>
      </c>
      <c r="Q34" s="101">
        <f t="shared" si="7"/>
        <v>0.17423536932359479</v>
      </c>
      <c r="R34" s="191">
        <v>13862266.809999999</v>
      </c>
      <c r="S34" s="101">
        <f t="shared" si="8"/>
        <v>0.41554871842341756</v>
      </c>
      <c r="T34" s="191">
        <v>8339835.6804729737</v>
      </c>
      <c r="U34" s="101">
        <f t="shared" si="2"/>
        <v>0.23718610805566953</v>
      </c>
      <c r="V34" s="192">
        <v>-7500000</v>
      </c>
      <c r="W34" s="192"/>
      <c r="X34" s="192"/>
      <c r="Y34" s="192"/>
      <c r="Z34" s="191" t="e">
        <f>+#REF!</f>
        <v>#REF!</v>
      </c>
      <c r="AA34" s="101" t="e">
        <f>+#REF!</f>
        <v>#REF!</v>
      </c>
      <c r="AB34" s="191" t="e">
        <f>+#REF!</f>
        <v>#REF!</v>
      </c>
      <c r="AC34" s="101" t="e">
        <f>+#REF!</f>
        <v>#REF!</v>
      </c>
      <c r="AD34" s="193" t="e">
        <f>+#REF!</f>
        <v>#REF!</v>
      </c>
      <c r="AE34" s="101" t="e">
        <f>+#REF!</f>
        <v>#REF!</v>
      </c>
      <c r="AF34" s="194" t="e">
        <f>+#REF!</f>
        <v>#REF!</v>
      </c>
      <c r="AG34" s="193" t="e">
        <f>+#REF!</f>
        <v>#REF!</v>
      </c>
      <c r="AH34" s="101" t="e">
        <f>+#REF!</f>
        <v>#REF!</v>
      </c>
      <c r="AI34" s="191" t="e">
        <f>+#REF!</f>
        <v>#REF!</v>
      </c>
      <c r="AJ34" s="101" t="e">
        <f>+#REF!</f>
        <v>#REF!</v>
      </c>
      <c r="AK34" s="194" t="e">
        <f>+#REF!</f>
        <v>#REF!</v>
      </c>
      <c r="AL34" s="193" t="e">
        <f>+#REF!</f>
        <v>#REF!</v>
      </c>
      <c r="AM34" s="101" t="e">
        <f>+#REF!</f>
        <v>#REF!</v>
      </c>
      <c r="AN34" s="193" t="e">
        <f>+#REF!</f>
        <v>#REF!</v>
      </c>
      <c r="AO34" s="101" t="e">
        <f>+#REF!</f>
        <v>#REF!</v>
      </c>
      <c r="AQ34" s="102"/>
      <c r="AR34" s="106"/>
      <c r="AS34" s="103"/>
      <c r="AT34" s="103"/>
      <c r="AU34" s="103"/>
      <c r="AV34" s="107"/>
      <c r="AW34" s="81"/>
      <c r="AX34" s="81"/>
      <c r="AY34" s="81"/>
      <c r="AZ34" s="81"/>
      <c r="BA34" s="81"/>
      <c r="BB34" s="81"/>
      <c r="BC34" s="81"/>
      <c r="BD34" s="81"/>
      <c r="BE34" s="81"/>
      <c r="BF34" s="81"/>
      <c r="BG34" s="81"/>
      <c r="BH34" s="81"/>
      <c r="BI34" s="81"/>
      <c r="DU34" s="174"/>
      <c r="DV34" s="174"/>
      <c r="DW34" s="174"/>
    </row>
    <row r="35" spans="1:130" ht="15" customHeight="1">
      <c r="A35" s="259"/>
      <c r="B35" s="259">
        <v>714</v>
      </c>
      <c r="C35" s="94" t="str">
        <f>IF(MasterSheet!$A$1=1,MasterSheet!C91,MasterSheet!B91)</f>
        <v>Naknade</v>
      </c>
      <c r="D35" s="95">
        <f>SUM(D36:D41)</f>
        <v>17868340.149999995</v>
      </c>
      <c r="E35" s="98">
        <f t="shared" si="0"/>
        <v>0.83151101261110316</v>
      </c>
      <c r="F35" s="95">
        <f>SUM(F36:F41)</f>
        <v>22895117.909999996</v>
      </c>
      <c r="G35" s="98">
        <f t="shared" si="1"/>
        <v>0.85413609065472851</v>
      </c>
      <c r="H35" s="95">
        <f>SUM(H36:H41)</f>
        <v>38239154.099999994</v>
      </c>
      <c r="I35" s="98">
        <f t="shared" si="3"/>
        <v>1.2392777450090742</v>
      </c>
      <c r="J35" s="95">
        <f>SUM(J36:J41)</f>
        <v>28332415.080000002</v>
      </c>
      <c r="K35" s="98">
        <f t="shared" si="4"/>
        <v>0.95043324656155659</v>
      </c>
      <c r="L35" s="95">
        <f>SUM(L36:L41)</f>
        <v>27428633.469999999</v>
      </c>
      <c r="M35" s="98">
        <f t="shared" si="5"/>
        <v>0.88365442880154643</v>
      </c>
      <c r="N35" s="95">
        <f>SUM(N36:N41)</f>
        <v>25699255.23</v>
      </c>
      <c r="O35" s="98">
        <f t="shared" si="6"/>
        <v>0.79465847959183677</v>
      </c>
      <c r="P35" s="189">
        <f>SUM(P36:P41)</f>
        <v>12706115.310000001</v>
      </c>
      <c r="Q35" s="98">
        <f t="shared" si="7"/>
        <v>0.40349683423308985</v>
      </c>
      <c r="R35" s="189">
        <f>SUM(R36:R41)</f>
        <v>13233490.18</v>
      </c>
      <c r="S35" s="98">
        <f t="shared" si="8"/>
        <v>0.39669990196703492</v>
      </c>
      <c r="T35" s="189">
        <v>13024243.76827177</v>
      </c>
      <c r="U35" s="98">
        <f t="shared" si="2"/>
        <v>0.37041133759957889</v>
      </c>
      <c r="V35" s="96"/>
      <c r="W35" s="96"/>
      <c r="X35" s="96"/>
      <c r="Y35" s="96"/>
      <c r="Z35" s="189" t="e">
        <f>+#REF!</f>
        <v>#REF!</v>
      </c>
      <c r="AA35" s="98" t="e">
        <f>+#REF!</f>
        <v>#REF!</v>
      </c>
      <c r="AB35" s="189" t="e">
        <f>+#REF!</f>
        <v>#REF!</v>
      </c>
      <c r="AC35" s="98" t="e">
        <f>+#REF!</f>
        <v>#REF!</v>
      </c>
      <c r="AD35" s="189" t="e">
        <f>+#REF!</f>
        <v>#REF!</v>
      </c>
      <c r="AE35" s="98" t="e">
        <f>+#REF!</f>
        <v>#REF!</v>
      </c>
      <c r="AF35" s="190" t="e">
        <f>+#REF!</f>
        <v>#REF!</v>
      </c>
      <c r="AG35" s="189" t="e">
        <f>+#REF!</f>
        <v>#REF!</v>
      </c>
      <c r="AH35" s="98" t="e">
        <f>+#REF!</f>
        <v>#REF!</v>
      </c>
      <c r="AI35" s="189" t="e">
        <f>+#REF!</f>
        <v>#REF!</v>
      </c>
      <c r="AJ35" s="98" t="e">
        <f>+#REF!</f>
        <v>#REF!</v>
      </c>
      <c r="AK35" s="190" t="e">
        <f>+#REF!</f>
        <v>#REF!</v>
      </c>
      <c r="AL35" s="189" t="e">
        <f>+#REF!</f>
        <v>#REF!</v>
      </c>
      <c r="AM35" s="98" t="e">
        <f>+#REF!</f>
        <v>#REF!</v>
      </c>
      <c r="AN35" s="189" t="e">
        <f>+#REF!</f>
        <v>#REF!</v>
      </c>
      <c r="AO35" s="98" t="e">
        <f>+#REF!</f>
        <v>#REF!</v>
      </c>
      <c r="AQ35" s="102"/>
      <c r="AR35" s="106" t="s">
        <v>430</v>
      </c>
      <c r="AS35" s="103"/>
      <c r="AT35" s="103"/>
      <c r="AU35" s="103"/>
      <c r="AV35" s="107"/>
      <c r="AW35" s="81"/>
      <c r="AX35" s="81"/>
      <c r="AY35" s="81"/>
      <c r="AZ35" s="81"/>
      <c r="BA35" s="81"/>
      <c r="BB35" s="81"/>
      <c r="BC35" s="81"/>
      <c r="BD35" s="81"/>
      <c r="BE35" s="81"/>
      <c r="BF35" s="81"/>
      <c r="BG35" s="81"/>
      <c r="BH35" s="81"/>
      <c r="BI35" s="81"/>
      <c r="DU35" s="174"/>
      <c r="DV35" s="174"/>
      <c r="DW35" s="174"/>
    </row>
    <row r="36" spans="1:130" ht="15" customHeight="1">
      <c r="A36" s="259"/>
      <c r="B36" s="259">
        <v>7141</v>
      </c>
      <c r="C36" s="99" t="str">
        <f>IF(MasterSheet!$A$1=1,MasterSheet!C92,MasterSheet!B92)</f>
        <v>Naknade za korišćenje dobara od opšteg interesa</v>
      </c>
      <c r="D36" s="100">
        <v>1274186.23</v>
      </c>
      <c r="E36" s="101">
        <f t="shared" si="0"/>
        <v>5.9294812694867145E-2</v>
      </c>
      <c r="F36" s="100">
        <v>2986015.41</v>
      </c>
      <c r="G36" s="101">
        <f t="shared" si="1"/>
        <v>0.11139770229434809</v>
      </c>
      <c r="H36" s="100">
        <v>2856435.93</v>
      </c>
      <c r="I36" s="101">
        <f t="shared" si="3"/>
        <v>9.25731115504278E-2</v>
      </c>
      <c r="J36" s="100">
        <v>2890522.73</v>
      </c>
      <c r="K36" s="101">
        <f t="shared" si="4"/>
        <v>9.696486850050319E-2</v>
      </c>
      <c r="L36" s="100">
        <v>2020524.58</v>
      </c>
      <c r="M36" s="101">
        <f t="shared" si="5"/>
        <v>6.5094219716494844E-2</v>
      </c>
      <c r="N36" s="100">
        <v>1002041.9199999999</v>
      </c>
      <c r="O36" s="101">
        <f t="shared" si="6"/>
        <v>3.0984598639455779E-2</v>
      </c>
      <c r="P36" s="193">
        <v>563371.34</v>
      </c>
      <c r="Q36" s="101">
        <f t="shared" si="7"/>
        <v>1.7890483963162909E-2</v>
      </c>
      <c r="R36" s="193">
        <v>647266.8600000001</v>
      </c>
      <c r="S36" s="101">
        <f t="shared" si="8"/>
        <v>1.9403097475870164E-2</v>
      </c>
      <c r="T36" s="193">
        <v>698651.48499726248</v>
      </c>
      <c r="U36" s="101">
        <f t="shared" si="2"/>
        <v>1.9869747194397578E-2</v>
      </c>
      <c r="V36" s="192"/>
      <c r="W36" s="192"/>
      <c r="X36" s="192"/>
      <c r="Y36" s="192"/>
      <c r="Z36" s="193" t="e">
        <f>+#REF!</f>
        <v>#REF!</v>
      </c>
      <c r="AA36" s="101" t="e">
        <f>+#REF!</f>
        <v>#REF!</v>
      </c>
      <c r="AB36" s="193" t="e">
        <f>+#REF!</f>
        <v>#REF!</v>
      </c>
      <c r="AC36" s="101" t="e">
        <f>+#REF!</f>
        <v>#REF!</v>
      </c>
      <c r="AD36" s="193" t="e">
        <f>+#REF!</f>
        <v>#REF!</v>
      </c>
      <c r="AE36" s="101" t="e">
        <f>+#REF!</f>
        <v>#REF!</v>
      </c>
      <c r="AF36" s="194" t="e">
        <f>+#REF!</f>
        <v>#REF!</v>
      </c>
      <c r="AG36" s="193" t="e">
        <f>+#REF!</f>
        <v>#REF!</v>
      </c>
      <c r="AH36" s="101" t="e">
        <f>+#REF!</f>
        <v>#REF!</v>
      </c>
      <c r="AI36" s="193" t="e">
        <f>+#REF!</f>
        <v>#REF!</v>
      </c>
      <c r="AJ36" s="101" t="e">
        <f>+#REF!</f>
        <v>#REF!</v>
      </c>
      <c r="AK36" s="194" t="e">
        <f>+#REF!</f>
        <v>#REF!</v>
      </c>
      <c r="AL36" s="193" t="e">
        <f>+#REF!</f>
        <v>#REF!</v>
      </c>
      <c r="AM36" s="101" t="e">
        <f>+#REF!</f>
        <v>#REF!</v>
      </c>
      <c r="AN36" s="193" t="e">
        <f>+#REF!</f>
        <v>#REF!</v>
      </c>
      <c r="AO36" s="101" t="e">
        <f>+#REF!</f>
        <v>#REF!</v>
      </c>
      <c r="AQ36" s="102"/>
      <c r="AR36" s="106"/>
      <c r="AS36" s="104">
        <f>+AS19</f>
        <v>2013</v>
      </c>
      <c r="AT36" s="104" t="str">
        <f>+AT19</f>
        <v>Plan 2014</v>
      </c>
      <c r="AU36" s="104" t="str">
        <f>+AU19</f>
        <v>Procjena 2014</v>
      </c>
      <c r="AV36" s="170" t="str">
        <f>+AV19</f>
        <v>Procjena 2015</v>
      </c>
      <c r="AW36" s="81"/>
      <c r="AX36" s="81"/>
      <c r="AY36" s="81"/>
      <c r="AZ36" s="81"/>
      <c r="BA36" s="81"/>
      <c r="BB36" s="81"/>
      <c r="BC36" s="81"/>
      <c r="BD36" s="81"/>
      <c r="BE36" s="81"/>
      <c r="BF36" s="81"/>
      <c r="BG36" s="81"/>
      <c r="BH36" s="81"/>
      <c r="BI36" s="81"/>
      <c r="DU36" s="174"/>
      <c r="DV36" s="174"/>
      <c r="DW36" s="174"/>
    </row>
    <row r="37" spans="1:130" ht="15" customHeight="1">
      <c r="A37" s="259"/>
      <c r="B37" s="259">
        <v>7142</v>
      </c>
      <c r="C37" s="99" t="str">
        <f>IF(MasterSheet!$A$1=1,MasterSheet!C93,MasterSheet!B93)</f>
        <v>Naknade za korišćenje prirodnih dobara</v>
      </c>
      <c r="D37" s="100">
        <v>3521417.44</v>
      </c>
      <c r="E37" s="101">
        <f t="shared" si="0"/>
        <v>0.16387069849690539</v>
      </c>
      <c r="F37" s="100">
        <v>3729314.35</v>
      </c>
      <c r="G37" s="101">
        <f t="shared" si="1"/>
        <v>0.13912756388733447</v>
      </c>
      <c r="H37" s="100">
        <v>3925540.16</v>
      </c>
      <c r="I37" s="101">
        <f t="shared" si="3"/>
        <v>0.12722129115893183</v>
      </c>
      <c r="J37" s="100">
        <v>3661578.93</v>
      </c>
      <c r="K37" s="101">
        <f t="shared" si="4"/>
        <v>0.12283055786648776</v>
      </c>
      <c r="L37" s="100">
        <v>3239633.87</v>
      </c>
      <c r="M37" s="101">
        <f t="shared" si="5"/>
        <v>0.10436964787371135</v>
      </c>
      <c r="N37" s="100">
        <v>3009556.45</v>
      </c>
      <c r="O37" s="101">
        <f t="shared" si="6"/>
        <v>9.3059877860235007E-2</v>
      </c>
      <c r="P37" s="193">
        <v>1376923.26</v>
      </c>
      <c r="Q37" s="101">
        <f t="shared" si="7"/>
        <v>4.3725730708161319E-2</v>
      </c>
      <c r="R37" s="193">
        <v>1995183.6300000001</v>
      </c>
      <c r="S37" s="101">
        <f t="shared" si="8"/>
        <v>5.9809554370125591E-2</v>
      </c>
      <c r="T37" s="193">
        <v>1997965.7673730874</v>
      </c>
      <c r="U37" s="101">
        <f t="shared" si="2"/>
        <v>5.6822429427627073E-2</v>
      </c>
      <c r="V37" s="192"/>
      <c r="W37" s="192"/>
      <c r="X37" s="192"/>
      <c r="Y37" s="192"/>
      <c r="Z37" s="193" t="e">
        <f>+#REF!</f>
        <v>#REF!</v>
      </c>
      <c r="AA37" s="101" t="e">
        <f>+#REF!</f>
        <v>#REF!</v>
      </c>
      <c r="AB37" s="193" t="e">
        <f>+#REF!</f>
        <v>#REF!</v>
      </c>
      <c r="AC37" s="101" t="e">
        <f>+#REF!</f>
        <v>#REF!</v>
      </c>
      <c r="AD37" s="193" t="e">
        <f>+#REF!</f>
        <v>#REF!</v>
      </c>
      <c r="AE37" s="101" t="e">
        <f>+#REF!</f>
        <v>#REF!</v>
      </c>
      <c r="AF37" s="194" t="e">
        <f>+#REF!</f>
        <v>#REF!</v>
      </c>
      <c r="AG37" s="193" t="e">
        <f>+#REF!</f>
        <v>#REF!</v>
      </c>
      <c r="AH37" s="101" t="e">
        <f>+#REF!</f>
        <v>#REF!</v>
      </c>
      <c r="AI37" s="193" t="e">
        <f>+#REF!</f>
        <v>#REF!</v>
      </c>
      <c r="AJ37" s="101" t="e">
        <f>+#REF!</f>
        <v>#REF!</v>
      </c>
      <c r="AK37" s="194" t="e">
        <f>+#REF!</f>
        <v>#REF!</v>
      </c>
      <c r="AL37" s="193" t="e">
        <f>+#REF!</f>
        <v>#REF!</v>
      </c>
      <c r="AM37" s="101" t="e">
        <f>+#REF!</f>
        <v>#REF!</v>
      </c>
      <c r="AN37" s="193" t="e">
        <f>+#REF!</f>
        <v>#REF!</v>
      </c>
      <c r="AO37" s="101" t="e">
        <f>+#REF!</f>
        <v>#REF!</v>
      </c>
      <c r="AQ37" s="102"/>
      <c r="AR37" s="106" t="s">
        <v>431</v>
      </c>
      <c r="AS37" s="109">
        <f>+R18+R19+R20+R25</f>
        <v>536192009.81</v>
      </c>
      <c r="AT37" s="109">
        <f>+T18+T19+T20+T25</f>
        <v>539775006.52807057</v>
      </c>
      <c r="AU37" s="109" t="e">
        <f>+AD18+AD19+AD20+AD25</f>
        <v>#REF!</v>
      </c>
      <c r="AV37" s="109" t="e">
        <f>+AI18+AI19+AI20+AI25</f>
        <v>#REF!</v>
      </c>
      <c r="AW37" s="81"/>
      <c r="AX37" s="81"/>
      <c r="AY37" s="81"/>
      <c r="AZ37" s="81"/>
      <c r="BA37" s="81"/>
      <c r="BB37" s="81"/>
      <c r="BC37" s="81"/>
      <c r="BD37" s="81"/>
      <c r="BE37" s="81"/>
      <c r="BF37" s="81"/>
      <c r="BG37" s="81"/>
      <c r="BH37" s="81"/>
      <c r="BI37" s="81"/>
      <c r="DU37" s="174"/>
      <c r="DV37" s="174"/>
      <c r="DW37" s="174"/>
    </row>
    <row r="38" spans="1:130" ht="15" customHeight="1">
      <c r="A38" s="259"/>
      <c r="B38" s="259">
        <v>7143</v>
      </c>
      <c r="C38" s="99" t="str">
        <f>IF(MasterSheet!$A$1=1,MasterSheet!C94,MasterSheet!B94)</f>
        <v>Ekološke naknade</v>
      </c>
      <c r="D38" s="100">
        <v>1902110.17</v>
      </c>
      <c r="E38" s="101">
        <f t="shared" si="0"/>
        <v>8.851552747917539E-2</v>
      </c>
      <c r="F38" s="100">
        <v>2195706.9700000002</v>
      </c>
      <c r="G38" s="101">
        <f t="shared" si="1"/>
        <v>8.1914082074239891E-2</v>
      </c>
      <c r="H38" s="100">
        <v>9210786.3699999992</v>
      </c>
      <c r="I38" s="101">
        <f t="shared" si="3"/>
        <v>0.2985087623152709</v>
      </c>
      <c r="J38" s="100">
        <v>9651406.9600000009</v>
      </c>
      <c r="K38" s="101">
        <f t="shared" si="4"/>
        <v>0.32376407111707484</v>
      </c>
      <c r="L38" s="100">
        <v>7609457.3499999996</v>
      </c>
      <c r="M38" s="101">
        <f t="shared" si="5"/>
        <v>0.24515004349226804</v>
      </c>
      <c r="N38" s="100">
        <v>7452842.79</v>
      </c>
      <c r="O38" s="101">
        <f t="shared" si="6"/>
        <v>0.23045277643784787</v>
      </c>
      <c r="P38" s="193">
        <v>654296.18000000005</v>
      </c>
      <c r="Q38" s="101">
        <f t="shared" si="7"/>
        <v>2.0777903461416322E-2</v>
      </c>
      <c r="R38" s="193">
        <v>309851.25</v>
      </c>
      <c r="S38" s="101">
        <f t="shared" si="8"/>
        <v>9.2884007791936302E-3</v>
      </c>
      <c r="T38" s="193">
        <v>424373.88097611902</v>
      </c>
      <c r="U38" s="101">
        <f t="shared" si="2"/>
        <v>1.2069253285755047E-2</v>
      </c>
      <c r="V38" s="192"/>
      <c r="W38" s="192"/>
      <c r="X38" s="192"/>
      <c r="Y38" s="192"/>
      <c r="Z38" s="193" t="e">
        <f>+#REF!</f>
        <v>#REF!</v>
      </c>
      <c r="AA38" s="101" t="e">
        <f>+#REF!</f>
        <v>#REF!</v>
      </c>
      <c r="AB38" s="193" t="e">
        <f>+#REF!</f>
        <v>#REF!</v>
      </c>
      <c r="AC38" s="101" t="e">
        <f>+#REF!</f>
        <v>#REF!</v>
      </c>
      <c r="AD38" s="193" t="e">
        <f>+#REF!</f>
        <v>#REF!</v>
      </c>
      <c r="AE38" s="101" t="e">
        <f>+#REF!</f>
        <v>#REF!</v>
      </c>
      <c r="AF38" s="194" t="e">
        <f>+#REF!</f>
        <v>#REF!</v>
      </c>
      <c r="AG38" s="193" t="e">
        <f>+#REF!</f>
        <v>#REF!</v>
      </c>
      <c r="AH38" s="101" t="e">
        <f>+#REF!</f>
        <v>#REF!</v>
      </c>
      <c r="AI38" s="193" t="e">
        <f>+#REF!</f>
        <v>#REF!</v>
      </c>
      <c r="AJ38" s="101" t="e">
        <f>+#REF!</f>
        <v>#REF!</v>
      </c>
      <c r="AK38" s="194" t="e">
        <f>+#REF!</f>
        <v>#REF!</v>
      </c>
      <c r="AL38" s="193" t="e">
        <f>+#REF!</f>
        <v>#REF!</v>
      </c>
      <c r="AM38" s="101" t="e">
        <f>+#REF!</f>
        <v>#REF!</v>
      </c>
      <c r="AN38" s="193" t="e">
        <f>+#REF!</f>
        <v>#REF!</v>
      </c>
      <c r="AO38" s="101" t="e">
        <f>+#REF!</f>
        <v>#REF!</v>
      </c>
      <c r="AQ38" s="102"/>
      <c r="AR38" s="106" t="s">
        <v>432</v>
      </c>
      <c r="AS38" s="109">
        <f>+R21+R22+R23</f>
        <v>612909922.13999999</v>
      </c>
      <c r="AT38" s="109">
        <f>+T21+T22+T23</f>
        <v>650792972.7511394</v>
      </c>
      <c r="AU38" s="109" t="e">
        <f>+AD21+AD22+AD23</f>
        <v>#REF!</v>
      </c>
      <c r="AV38" s="109" t="e">
        <f>+AI21+AI22+AI23</f>
        <v>#REF!</v>
      </c>
      <c r="AW38" s="81"/>
      <c r="AX38" s="81"/>
      <c r="AY38" s="81"/>
      <c r="AZ38" s="81"/>
      <c r="BA38" s="81"/>
      <c r="BB38" s="81"/>
      <c r="BC38" s="81"/>
      <c r="BD38" s="81"/>
      <c r="BE38" s="81"/>
      <c r="BF38" s="81"/>
      <c r="BG38" s="81"/>
      <c r="BH38" s="81"/>
      <c r="BI38" s="81"/>
      <c r="DU38" s="174"/>
      <c r="DV38" s="174"/>
      <c r="DW38" s="174"/>
      <c r="DX38" s="81"/>
      <c r="DY38" s="81"/>
    </row>
    <row r="39" spans="1:130" ht="15" customHeight="1">
      <c r="A39" s="259"/>
      <c r="B39" s="259">
        <v>7144</v>
      </c>
      <c r="C39" s="99" t="str">
        <f>IF(MasterSheet!$A$1=1,MasterSheet!C95,MasterSheet!B95)</f>
        <v>Naknade za priređivanje igara na sreću</v>
      </c>
      <c r="D39" s="100">
        <v>3406245.76</v>
      </c>
      <c r="E39" s="101">
        <f t="shared" si="0"/>
        <v>0.15851113406859324</v>
      </c>
      <c r="F39" s="100">
        <v>4400291.1100000003</v>
      </c>
      <c r="G39" s="101">
        <f t="shared" si="1"/>
        <v>0.16415934004849844</v>
      </c>
      <c r="H39" s="100">
        <v>5175563.96</v>
      </c>
      <c r="I39" s="101">
        <f t="shared" si="3"/>
        <v>0.16773282214156079</v>
      </c>
      <c r="J39" s="100">
        <v>4679989.66</v>
      </c>
      <c r="K39" s="101">
        <f t="shared" si="4"/>
        <v>0.15699395035223079</v>
      </c>
      <c r="L39" s="100">
        <v>6380752.96</v>
      </c>
      <c r="M39" s="101">
        <f t="shared" si="5"/>
        <v>0.20556549484536082</v>
      </c>
      <c r="N39" s="100">
        <v>4180845.3600000003</v>
      </c>
      <c r="O39" s="101">
        <f t="shared" si="6"/>
        <v>0.12927784044526905</v>
      </c>
      <c r="P39" s="193">
        <v>3319092.83</v>
      </c>
      <c r="Q39" s="101">
        <f t="shared" si="7"/>
        <v>0.10540148713877422</v>
      </c>
      <c r="R39" s="193">
        <v>3324177.16</v>
      </c>
      <c r="S39" s="101">
        <f t="shared" si="8"/>
        <v>9.9648749918296836E-2</v>
      </c>
      <c r="T39" s="193">
        <v>3266343.0516235088</v>
      </c>
      <c r="U39" s="101">
        <f t="shared" si="2"/>
        <v>9.2895259052073062E-2</v>
      </c>
      <c r="V39" s="192"/>
      <c r="W39" s="192"/>
      <c r="X39" s="192"/>
      <c r="Y39" s="192"/>
      <c r="Z39" s="193" t="e">
        <f>+#REF!</f>
        <v>#REF!</v>
      </c>
      <c r="AA39" s="101" t="e">
        <f>+#REF!</f>
        <v>#REF!</v>
      </c>
      <c r="AB39" s="193" t="e">
        <f>+#REF!</f>
        <v>#REF!</v>
      </c>
      <c r="AC39" s="101" t="e">
        <f>+#REF!</f>
        <v>#REF!</v>
      </c>
      <c r="AD39" s="193" t="e">
        <f>+#REF!</f>
        <v>#REF!</v>
      </c>
      <c r="AE39" s="101" t="e">
        <f>+#REF!</f>
        <v>#REF!</v>
      </c>
      <c r="AF39" s="194" t="e">
        <f>+#REF!</f>
        <v>#REF!</v>
      </c>
      <c r="AG39" s="193" t="e">
        <f>+#REF!</f>
        <v>#REF!</v>
      </c>
      <c r="AH39" s="101" t="e">
        <f>+#REF!</f>
        <v>#REF!</v>
      </c>
      <c r="AI39" s="193" t="e">
        <f>+#REF!</f>
        <v>#REF!</v>
      </c>
      <c r="AJ39" s="101" t="e">
        <f>+#REF!</f>
        <v>#REF!</v>
      </c>
      <c r="AK39" s="194" t="e">
        <f>+#REF!</f>
        <v>#REF!</v>
      </c>
      <c r="AL39" s="193" t="e">
        <f>+#REF!</f>
        <v>#REF!</v>
      </c>
      <c r="AM39" s="101" t="e">
        <f>+#REF!</f>
        <v>#REF!</v>
      </c>
      <c r="AN39" s="193" t="e">
        <f>+#REF!</f>
        <v>#REF!</v>
      </c>
      <c r="AO39" s="101" t="e">
        <f>+#REF!</f>
        <v>#REF!</v>
      </c>
      <c r="AQ39" s="102"/>
      <c r="AR39" s="106" t="s">
        <v>433</v>
      </c>
      <c r="AS39" s="109">
        <f>+R24+R30+R35+R42+R47</f>
        <v>86044447.530000001</v>
      </c>
      <c r="AT39" s="109">
        <f>+T24+T30+T35+T42+T47</f>
        <v>77488420.15796043</v>
      </c>
      <c r="AU39" s="109" t="e">
        <f>+AD24+AD30+AD35+AD42+AD47</f>
        <v>#REF!</v>
      </c>
      <c r="AV39" s="109" t="e">
        <f>+AI24+AI30+AI35+AI42+AI47</f>
        <v>#REF!</v>
      </c>
      <c r="AW39" s="81"/>
      <c r="AX39" s="81"/>
      <c r="AY39" s="81"/>
      <c r="AZ39" s="81"/>
      <c r="BA39" s="81"/>
      <c r="BB39" s="81"/>
      <c r="BC39" s="81"/>
      <c r="BD39" s="81"/>
      <c r="BE39" s="81"/>
      <c r="BF39" s="81"/>
      <c r="BG39" s="81"/>
      <c r="BH39" s="81"/>
      <c r="BI39" s="81"/>
      <c r="DU39" s="174"/>
      <c r="DV39" s="174"/>
      <c r="DW39" s="174"/>
      <c r="DX39" s="81"/>
      <c r="DY39" s="81"/>
    </row>
    <row r="40" spans="1:130" ht="15" customHeight="1">
      <c r="A40" s="259"/>
      <c r="B40" s="259">
        <v>7148</v>
      </c>
      <c r="C40" s="99" t="str">
        <f>IF(MasterSheet!$A$1=1,MasterSheet!C96,MasterSheet!B96)</f>
        <v>Naknada za puteve</v>
      </c>
      <c r="D40" s="100">
        <v>5372953.1699999962</v>
      </c>
      <c r="E40" s="101">
        <f t="shared" si="0"/>
        <v>0.25003272232304885</v>
      </c>
      <c r="F40" s="100">
        <v>6458859.3499999996</v>
      </c>
      <c r="G40" s="101">
        <f t="shared" si="1"/>
        <v>0.24095725983958216</v>
      </c>
      <c r="H40" s="100">
        <v>7089990.1699999999</v>
      </c>
      <c r="I40" s="101">
        <f t="shared" si="3"/>
        <v>0.2297767102022297</v>
      </c>
      <c r="J40" s="100">
        <v>4037944.42</v>
      </c>
      <c r="K40" s="101">
        <f t="shared" si="4"/>
        <v>0.13545603555853739</v>
      </c>
      <c r="L40" s="100">
        <v>3597161.86</v>
      </c>
      <c r="M40" s="101">
        <f t="shared" si="5"/>
        <v>0.11588794652061854</v>
      </c>
      <c r="N40" s="100">
        <v>4863937.55</v>
      </c>
      <c r="O40" s="101">
        <f t="shared" si="6"/>
        <v>0.15040004792826223</v>
      </c>
      <c r="P40" s="193">
        <v>3327409.68</v>
      </c>
      <c r="Q40" s="101">
        <f t="shared" si="7"/>
        <v>0.10566559796760877</v>
      </c>
      <c r="R40" s="193">
        <v>3659024.1899999995</v>
      </c>
      <c r="S40" s="101">
        <f t="shared" si="8"/>
        <v>0.10968644837638813</v>
      </c>
      <c r="T40" s="193">
        <v>3355752.0175728933</v>
      </c>
      <c r="U40" s="101">
        <f t="shared" si="2"/>
        <v>9.5438062708081514E-2</v>
      </c>
      <c r="V40" s="192"/>
      <c r="W40" s="192"/>
      <c r="X40" s="192"/>
      <c r="Y40" s="192"/>
      <c r="Z40" s="193" t="e">
        <f>+#REF!</f>
        <v>#REF!</v>
      </c>
      <c r="AA40" s="101" t="e">
        <f>+#REF!</f>
        <v>#REF!</v>
      </c>
      <c r="AB40" s="193" t="e">
        <f>+#REF!</f>
        <v>#REF!</v>
      </c>
      <c r="AC40" s="101" t="e">
        <f>+#REF!</f>
        <v>#REF!</v>
      </c>
      <c r="AD40" s="193" t="e">
        <f>+#REF!</f>
        <v>#REF!</v>
      </c>
      <c r="AE40" s="101" t="e">
        <f>+#REF!</f>
        <v>#REF!</v>
      </c>
      <c r="AF40" s="194" t="e">
        <f>+#REF!</f>
        <v>#REF!</v>
      </c>
      <c r="AG40" s="193" t="e">
        <f>+#REF!</f>
        <v>#REF!</v>
      </c>
      <c r="AH40" s="101" t="e">
        <f>+#REF!</f>
        <v>#REF!</v>
      </c>
      <c r="AI40" s="193" t="e">
        <f>+#REF!</f>
        <v>#REF!</v>
      </c>
      <c r="AJ40" s="101" t="e">
        <f>+#REF!</f>
        <v>#REF!</v>
      </c>
      <c r="AK40" s="194" t="e">
        <f>+#REF!</f>
        <v>#REF!</v>
      </c>
      <c r="AL40" s="193" t="e">
        <f>+#REF!</f>
        <v>#REF!</v>
      </c>
      <c r="AM40" s="101" t="e">
        <f>+#REF!</f>
        <v>#REF!</v>
      </c>
      <c r="AN40" s="193" t="e">
        <f>+#REF!</f>
        <v>#REF!</v>
      </c>
      <c r="AO40" s="101" t="e">
        <f>+#REF!</f>
        <v>#REF!</v>
      </c>
      <c r="AQ40" s="102"/>
      <c r="AR40" s="106"/>
      <c r="AS40" s="106"/>
      <c r="AT40" s="106"/>
      <c r="AU40" s="106"/>
      <c r="AV40" s="107"/>
      <c r="AW40" s="81"/>
      <c r="AX40" s="81"/>
      <c r="AY40" s="81"/>
      <c r="AZ40" s="81"/>
      <c r="BA40" s="81"/>
      <c r="BB40" s="81"/>
      <c r="BC40" s="81"/>
      <c r="BD40" s="81"/>
      <c r="BE40" s="81"/>
      <c r="BF40" s="81"/>
      <c r="BG40" s="81"/>
      <c r="BH40" s="81"/>
      <c r="BI40" s="81"/>
      <c r="DU40" s="174"/>
      <c r="DV40" s="174"/>
      <c r="DW40" s="174"/>
      <c r="DX40" s="81"/>
      <c r="DY40" s="81"/>
    </row>
    <row r="41" spans="1:130" ht="15" customHeight="1">
      <c r="A41" s="259"/>
      <c r="B41" s="259">
        <v>7149</v>
      </c>
      <c r="C41" s="99" t="str">
        <f>IF(MasterSheet!$A$1=1,MasterSheet!C97,MasterSheet!B97)</f>
        <v>Ostale naknade</v>
      </c>
      <c r="D41" s="100">
        <v>2391427.38</v>
      </c>
      <c r="E41" s="101">
        <f t="shared" si="0"/>
        <v>0.11128611754851318</v>
      </c>
      <c r="F41" s="100">
        <v>3124930.72</v>
      </c>
      <c r="G41" s="101">
        <f t="shared" si="1"/>
        <v>0.11658014251072563</v>
      </c>
      <c r="H41" s="100">
        <v>9980837.5099999998</v>
      </c>
      <c r="I41" s="101">
        <f t="shared" si="3"/>
        <v>0.32346504764065337</v>
      </c>
      <c r="J41" s="100">
        <v>3410972.38</v>
      </c>
      <c r="K41" s="101">
        <f t="shared" si="4"/>
        <v>0.11442376316672256</v>
      </c>
      <c r="L41" s="100">
        <v>4581102.8499999996</v>
      </c>
      <c r="M41" s="101">
        <f t="shared" si="5"/>
        <v>0.14758707635309276</v>
      </c>
      <c r="N41" s="100">
        <v>5190031.1599999992</v>
      </c>
      <c r="O41" s="101">
        <f t="shared" si="6"/>
        <v>0.16048333828076683</v>
      </c>
      <c r="P41" s="193">
        <v>3465022.02</v>
      </c>
      <c r="Q41" s="101">
        <f t="shared" si="7"/>
        <v>0.11003563099396634</v>
      </c>
      <c r="R41" s="193">
        <v>3297987.09</v>
      </c>
      <c r="S41" s="101">
        <f t="shared" si="8"/>
        <v>9.8863651047160633E-2</v>
      </c>
      <c r="T41" s="193">
        <v>3281157.5657288986</v>
      </c>
      <c r="U41" s="101">
        <f t="shared" si="2"/>
        <v>9.331658593164463E-2</v>
      </c>
      <c r="V41" s="192"/>
      <c r="W41" s="192"/>
      <c r="X41" s="192"/>
      <c r="Y41" s="192"/>
      <c r="Z41" s="193" t="e">
        <f>+#REF!</f>
        <v>#REF!</v>
      </c>
      <c r="AA41" s="101" t="e">
        <f>+#REF!</f>
        <v>#REF!</v>
      </c>
      <c r="AB41" s="193" t="e">
        <f>+#REF!</f>
        <v>#REF!</v>
      </c>
      <c r="AC41" s="101" t="e">
        <f>+#REF!</f>
        <v>#REF!</v>
      </c>
      <c r="AD41" s="193" t="e">
        <f>+#REF!</f>
        <v>#REF!</v>
      </c>
      <c r="AE41" s="101" t="e">
        <f>+#REF!</f>
        <v>#REF!</v>
      </c>
      <c r="AF41" s="194" t="e">
        <f>+#REF!</f>
        <v>#REF!</v>
      </c>
      <c r="AG41" s="193" t="e">
        <f>+#REF!</f>
        <v>#REF!</v>
      </c>
      <c r="AH41" s="101" t="e">
        <f>+#REF!</f>
        <v>#REF!</v>
      </c>
      <c r="AI41" s="193" t="e">
        <f>+#REF!</f>
        <v>#REF!</v>
      </c>
      <c r="AJ41" s="101" t="e">
        <f>+#REF!</f>
        <v>#REF!</v>
      </c>
      <c r="AK41" s="194" t="e">
        <f>+#REF!</f>
        <v>#REF!</v>
      </c>
      <c r="AL41" s="193" t="e">
        <f>+#REF!</f>
        <v>#REF!</v>
      </c>
      <c r="AM41" s="101" t="e">
        <f>+#REF!</f>
        <v>#REF!</v>
      </c>
      <c r="AN41" s="193" t="e">
        <f>+#REF!</f>
        <v>#REF!</v>
      </c>
      <c r="AO41" s="101" t="e">
        <f>+#REF!</f>
        <v>#REF!</v>
      </c>
      <c r="AQ41" s="102"/>
      <c r="AR41" s="106"/>
      <c r="AS41" s="106"/>
      <c r="AT41" s="106"/>
      <c r="AU41" s="106"/>
      <c r="AV41" s="107"/>
      <c r="AW41" s="81"/>
      <c r="AX41" s="81"/>
      <c r="AY41" s="81"/>
      <c r="AZ41" s="81"/>
      <c r="BA41" s="81"/>
      <c r="BB41" s="81"/>
      <c r="BC41" s="81"/>
      <c r="BD41" s="81"/>
      <c r="BE41" s="81"/>
      <c r="BF41" s="81"/>
      <c r="BG41" s="81"/>
      <c r="BH41" s="81"/>
      <c r="BI41" s="81"/>
      <c r="DU41" s="81"/>
      <c r="DV41" s="81"/>
      <c r="DW41" s="81"/>
      <c r="DX41" s="81"/>
      <c r="DY41" s="81"/>
    </row>
    <row r="42" spans="1:130" ht="15" customHeight="1">
      <c r="A42" s="259"/>
      <c r="B42" s="259">
        <v>715</v>
      </c>
      <c r="C42" s="94" t="str">
        <f>IF(MasterSheet!$A$1=1,MasterSheet!C98,MasterSheet!B98)</f>
        <v>Ostali prihodi</v>
      </c>
      <c r="D42" s="95">
        <f>SUM(D43:D46)</f>
        <v>60725640.779999994</v>
      </c>
      <c r="E42" s="98">
        <f t="shared" si="0"/>
        <v>2.8258942147145047</v>
      </c>
      <c r="F42" s="95">
        <f>SUM(F43:F46)</f>
        <v>58512071.479999997</v>
      </c>
      <c r="G42" s="98">
        <f t="shared" si="1"/>
        <v>2.1828789957097556</v>
      </c>
      <c r="H42" s="95">
        <f>SUM(H43:H46)</f>
        <v>45480397.879999995</v>
      </c>
      <c r="I42" s="98">
        <f t="shared" si="3"/>
        <v>1.4739563741249675</v>
      </c>
      <c r="J42" s="95">
        <f>SUM(J43:J46)</f>
        <v>43622195.68</v>
      </c>
      <c r="K42" s="98">
        <f t="shared" si="4"/>
        <v>1.4633410157665214</v>
      </c>
      <c r="L42" s="95">
        <f>SUM(L43:L46)</f>
        <v>31858288.899999999</v>
      </c>
      <c r="M42" s="98">
        <f t="shared" si="5"/>
        <v>1.0263624001288658</v>
      </c>
      <c r="N42" s="95">
        <f>SUM(N43:N46)</f>
        <v>24777629.66</v>
      </c>
      <c r="O42" s="98">
        <f t="shared" si="6"/>
        <v>0.76616047186147185</v>
      </c>
      <c r="P42" s="189">
        <f>SUM(P43:P46)</f>
        <v>35120651.189999998</v>
      </c>
      <c r="Q42" s="98">
        <f t="shared" si="7"/>
        <v>1.1152953696411558</v>
      </c>
      <c r="R42" s="189">
        <f>SUM(R43:R46)</f>
        <v>33088194.540000003</v>
      </c>
      <c r="S42" s="98">
        <f t="shared" si="8"/>
        <v>0.99188372468223518</v>
      </c>
      <c r="T42" s="189">
        <v>31410770.914738216</v>
      </c>
      <c r="U42" s="98">
        <f t="shared" si="2"/>
        <v>0.89332677402013982</v>
      </c>
      <c r="V42" s="96"/>
      <c r="W42" s="96"/>
      <c r="X42" s="96"/>
      <c r="Y42" s="96"/>
      <c r="Z42" s="189" t="e">
        <f>+#REF!</f>
        <v>#REF!</v>
      </c>
      <c r="AA42" s="98" t="e">
        <f>+#REF!</f>
        <v>#REF!</v>
      </c>
      <c r="AB42" s="189" t="e">
        <f>+#REF!</f>
        <v>#REF!</v>
      </c>
      <c r="AC42" s="98" t="e">
        <f>+#REF!</f>
        <v>#REF!</v>
      </c>
      <c r="AD42" s="189" t="e">
        <f>+#REF!</f>
        <v>#REF!</v>
      </c>
      <c r="AE42" s="98" t="e">
        <f>+#REF!</f>
        <v>#REF!</v>
      </c>
      <c r="AF42" s="190" t="e">
        <f>+#REF!</f>
        <v>#REF!</v>
      </c>
      <c r="AG42" s="189" t="e">
        <f>+#REF!</f>
        <v>#REF!</v>
      </c>
      <c r="AH42" s="98" t="e">
        <f>+#REF!</f>
        <v>#REF!</v>
      </c>
      <c r="AI42" s="189" t="e">
        <f>+#REF!</f>
        <v>#REF!</v>
      </c>
      <c r="AJ42" s="98" t="e">
        <f>+#REF!</f>
        <v>#REF!</v>
      </c>
      <c r="AK42" s="190" t="e">
        <f>+#REF!</f>
        <v>#REF!</v>
      </c>
      <c r="AL42" s="189" t="e">
        <f>+#REF!</f>
        <v>#REF!</v>
      </c>
      <c r="AM42" s="98" t="e">
        <f>+#REF!</f>
        <v>#REF!</v>
      </c>
      <c r="AN42" s="189" t="e">
        <f>+#REF!</f>
        <v>#REF!</v>
      </c>
      <c r="AO42" s="98" t="e">
        <f>+#REF!</f>
        <v>#REF!</v>
      </c>
      <c r="AQ42" s="102"/>
      <c r="AR42" s="106"/>
      <c r="AS42" s="106"/>
      <c r="AT42" s="106"/>
      <c r="AU42" s="106"/>
      <c r="AV42" s="107"/>
      <c r="AW42" s="81"/>
      <c r="AX42" s="81"/>
      <c r="AY42" s="81"/>
      <c r="AZ42" s="81"/>
      <c r="BA42" s="81"/>
      <c r="BB42" s="81"/>
      <c r="BC42" s="81"/>
      <c r="BD42" s="81"/>
      <c r="BE42" s="81"/>
      <c r="BF42" s="81"/>
      <c r="BG42" s="81"/>
      <c r="BH42" s="81"/>
      <c r="BI42" s="81"/>
      <c r="DU42" s="81"/>
      <c r="DV42" s="81"/>
      <c r="DW42" s="81"/>
      <c r="DX42" s="81"/>
      <c r="DY42" s="81"/>
    </row>
    <row r="43" spans="1:130" ht="15" customHeight="1">
      <c r="A43" s="259"/>
      <c r="B43" s="259">
        <v>7151</v>
      </c>
      <c r="C43" s="99" t="str">
        <f>IF(MasterSheet!$A$1=1,MasterSheet!C99,MasterSheet!B99)</f>
        <v>Prihodi od kapitala</v>
      </c>
      <c r="D43" s="100">
        <v>8168377.7700000005</v>
      </c>
      <c r="E43" s="101">
        <f t="shared" si="0"/>
        <v>0.38011902694401789</v>
      </c>
      <c r="F43" s="100">
        <v>18699178.469999999</v>
      </c>
      <c r="G43" s="101">
        <f t="shared" si="1"/>
        <v>0.69760039059876877</v>
      </c>
      <c r="H43" s="100">
        <v>13798997.720000001</v>
      </c>
      <c r="I43" s="101">
        <f t="shared" si="3"/>
        <v>0.44720630412237494</v>
      </c>
      <c r="J43" s="100">
        <v>14050397.890000001</v>
      </c>
      <c r="K43" s="101">
        <f t="shared" si="4"/>
        <v>0.47133169708151629</v>
      </c>
      <c r="L43" s="100">
        <v>7714681.46</v>
      </c>
      <c r="M43" s="101">
        <f t="shared" si="5"/>
        <v>0.24853999548969075</v>
      </c>
      <c r="N43" s="100">
        <v>5467464.75</v>
      </c>
      <c r="O43" s="101">
        <f t="shared" si="6"/>
        <v>0.16906198979591838</v>
      </c>
      <c r="P43" s="193">
        <v>12780311.91</v>
      </c>
      <c r="Q43" s="101">
        <f t="shared" si="7"/>
        <v>0.40585302985074628</v>
      </c>
      <c r="R43" s="193">
        <v>6034873.3200000003</v>
      </c>
      <c r="S43" s="101">
        <f t="shared" si="8"/>
        <v>0.18090719998006413</v>
      </c>
      <c r="T43" s="193">
        <v>5533606.7424404304</v>
      </c>
      <c r="U43" s="101">
        <f t="shared" si="2"/>
        <v>0.15737655956737298</v>
      </c>
      <c r="V43" s="192">
        <v>1000000</v>
      </c>
      <c r="W43" s="192"/>
      <c r="X43" s="192"/>
      <c r="Y43" s="192"/>
      <c r="Z43" s="193" t="e">
        <f>+#REF!</f>
        <v>#REF!</v>
      </c>
      <c r="AA43" s="101" t="e">
        <f>+#REF!</f>
        <v>#REF!</v>
      </c>
      <c r="AB43" s="193" t="e">
        <f>+#REF!</f>
        <v>#REF!</v>
      </c>
      <c r="AC43" s="101" t="e">
        <f>+#REF!</f>
        <v>#REF!</v>
      </c>
      <c r="AD43" s="193" t="e">
        <f>+#REF!</f>
        <v>#REF!</v>
      </c>
      <c r="AE43" s="101" t="e">
        <f>+#REF!</f>
        <v>#REF!</v>
      </c>
      <c r="AF43" s="194" t="e">
        <f>+#REF!</f>
        <v>#REF!</v>
      </c>
      <c r="AG43" s="193" t="e">
        <f>+#REF!</f>
        <v>#REF!</v>
      </c>
      <c r="AH43" s="101" t="e">
        <f>+#REF!</f>
        <v>#REF!</v>
      </c>
      <c r="AI43" s="193" t="e">
        <f>+#REF!</f>
        <v>#REF!</v>
      </c>
      <c r="AJ43" s="101" t="e">
        <f>+#REF!</f>
        <v>#REF!</v>
      </c>
      <c r="AK43" s="194" t="e">
        <f>+#REF!</f>
        <v>#REF!</v>
      </c>
      <c r="AL43" s="193" t="e">
        <f>+#REF!</f>
        <v>#REF!</v>
      </c>
      <c r="AM43" s="101" t="e">
        <f>+#REF!</f>
        <v>#REF!</v>
      </c>
      <c r="AN43" s="193" t="e">
        <f>+#REF!</f>
        <v>#REF!</v>
      </c>
      <c r="AO43" s="101" t="e">
        <f>+#REF!</f>
        <v>#REF!</v>
      </c>
      <c r="AQ43" s="102"/>
      <c r="AR43" s="106"/>
      <c r="AS43" s="106"/>
      <c r="AT43" s="106"/>
      <c r="AU43" s="106"/>
      <c r="AV43" s="107"/>
      <c r="AW43" s="81"/>
      <c r="AX43" s="81"/>
      <c r="AY43" s="81"/>
      <c r="AZ43" s="81"/>
      <c r="BA43" s="81"/>
      <c r="BB43" s="81"/>
      <c r="BC43" s="81"/>
      <c r="BD43" s="81"/>
      <c r="BE43" s="81"/>
      <c r="BF43" s="81"/>
      <c r="BG43" s="81"/>
      <c r="BH43" s="81"/>
      <c r="BI43" s="81"/>
      <c r="DU43" s="171"/>
      <c r="DV43" s="171"/>
      <c r="DW43" s="171"/>
      <c r="DX43" s="171"/>
      <c r="DY43" s="171"/>
      <c r="DZ43" s="175"/>
    </row>
    <row r="44" spans="1:130" ht="15" customHeight="1">
      <c r="A44" s="259"/>
      <c r="B44" s="259">
        <v>7152</v>
      </c>
      <c r="C44" s="99" t="str">
        <f>IF(MasterSheet!$A$1=1,MasterSheet!C100,MasterSheet!B100)</f>
        <v>Novčane kazne i oduzete imovinske koristi</v>
      </c>
      <c r="D44" s="100">
        <v>7615600.2199999951</v>
      </c>
      <c r="E44" s="101">
        <f t="shared" si="0"/>
        <v>0.35439528223742356</v>
      </c>
      <c r="F44" s="100">
        <v>10141066.57</v>
      </c>
      <c r="G44" s="101">
        <f t="shared" si="1"/>
        <v>0.37832742286886772</v>
      </c>
      <c r="H44" s="100">
        <v>9427789.2100000009</v>
      </c>
      <c r="I44" s="101">
        <f t="shared" si="3"/>
        <v>0.30554152223230496</v>
      </c>
      <c r="J44" s="100">
        <v>8057798.4800000004</v>
      </c>
      <c r="K44" s="101">
        <f t="shared" si="4"/>
        <v>0.27030521569942972</v>
      </c>
      <c r="L44" s="100">
        <v>7698309.5599999996</v>
      </c>
      <c r="M44" s="101">
        <f t="shared" si="5"/>
        <v>0.24801255025773192</v>
      </c>
      <c r="N44" s="100">
        <v>7094815.5099999998</v>
      </c>
      <c r="O44" s="101">
        <f t="shared" si="6"/>
        <v>0.21938205040197897</v>
      </c>
      <c r="P44" s="193">
        <v>8748262.1099999994</v>
      </c>
      <c r="Q44" s="101">
        <f t="shared" si="7"/>
        <v>0.27781080057161001</v>
      </c>
      <c r="R44" s="193">
        <v>12316700.43</v>
      </c>
      <c r="S44" s="101">
        <f t="shared" si="8"/>
        <v>0.36921732563966259</v>
      </c>
      <c r="T44" s="193">
        <v>11824073.889814863</v>
      </c>
      <c r="U44" s="101">
        <f t="shared" si="2"/>
        <v>0.33627833625719566</v>
      </c>
      <c r="V44" s="192">
        <v>600000</v>
      </c>
      <c r="W44" s="192"/>
      <c r="X44" s="192"/>
      <c r="Y44" s="192"/>
      <c r="Z44" s="193" t="e">
        <f>+#REF!</f>
        <v>#REF!</v>
      </c>
      <c r="AA44" s="101" t="e">
        <f>+#REF!</f>
        <v>#REF!</v>
      </c>
      <c r="AB44" s="193" t="e">
        <f>+#REF!</f>
        <v>#REF!</v>
      </c>
      <c r="AC44" s="101" t="e">
        <f>+#REF!</f>
        <v>#REF!</v>
      </c>
      <c r="AD44" s="193" t="e">
        <f>+#REF!</f>
        <v>#REF!</v>
      </c>
      <c r="AE44" s="101" t="e">
        <f>+#REF!</f>
        <v>#REF!</v>
      </c>
      <c r="AF44" s="194" t="e">
        <f>+#REF!</f>
        <v>#REF!</v>
      </c>
      <c r="AG44" s="193" t="e">
        <f>+#REF!</f>
        <v>#REF!</v>
      </c>
      <c r="AH44" s="101" t="e">
        <f>+#REF!</f>
        <v>#REF!</v>
      </c>
      <c r="AI44" s="193" t="e">
        <f>+#REF!</f>
        <v>#REF!</v>
      </c>
      <c r="AJ44" s="101" t="e">
        <f>+#REF!</f>
        <v>#REF!</v>
      </c>
      <c r="AK44" s="194" t="e">
        <f>+#REF!</f>
        <v>#REF!</v>
      </c>
      <c r="AL44" s="193" t="e">
        <f>+#REF!</f>
        <v>#REF!</v>
      </c>
      <c r="AM44" s="101" t="e">
        <f>+#REF!</f>
        <v>#REF!</v>
      </c>
      <c r="AN44" s="193" t="e">
        <f>+#REF!</f>
        <v>#REF!</v>
      </c>
      <c r="AO44" s="101" t="e">
        <f>+#REF!</f>
        <v>#REF!</v>
      </c>
      <c r="AQ44" s="102"/>
      <c r="AR44" s="106"/>
      <c r="AS44" s="106"/>
      <c r="AT44" s="106"/>
      <c r="AU44" s="106"/>
      <c r="AV44" s="107"/>
      <c r="AW44" s="81"/>
      <c r="AX44" s="81"/>
      <c r="AY44" s="81"/>
      <c r="AZ44" s="81"/>
      <c r="BA44" s="81"/>
      <c r="BB44" s="81"/>
      <c r="BC44" s="81"/>
      <c r="BD44" s="81"/>
      <c r="BE44" s="81"/>
      <c r="BF44" s="81"/>
      <c r="BG44" s="81"/>
      <c r="BH44" s="81"/>
      <c r="BI44" s="81"/>
      <c r="DU44" s="171"/>
      <c r="DV44" s="171"/>
      <c r="DW44" s="173"/>
      <c r="DX44" s="173"/>
      <c r="DY44" s="214"/>
      <c r="DZ44" s="175"/>
    </row>
    <row r="45" spans="1:130" ht="15" customHeight="1">
      <c r="A45" s="259"/>
      <c r="B45" s="259">
        <v>7153</v>
      </c>
      <c r="C45" s="99" t="str">
        <f>IF(MasterSheet!$A$1=1,MasterSheet!C101,MasterSheet!B101)</f>
        <v>Prihodi koje organi ostvaruju vršenjem svoje djelatnosti</v>
      </c>
      <c r="D45" s="100">
        <v>28553597.170000002</v>
      </c>
      <c r="E45" s="101">
        <f t="shared" si="0"/>
        <v>1.3287541146633162</v>
      </c>
      <c r="F45" s="100">
        <v>18195249.18</v>
      </c>
      <c r="G45" s="101">
        <f t="shared" si="1"/>
        <v>0.67880056631225516</v>
      </c>
      <c r="H45" s="100">
        <v>5377701.7699999996</v>
      </c>
      <c r="I45" s="101">
        <f t="shared" si="3"/>
        <v>0.17428382713248636</v>
      </c>
      <c r="J45" s="100">
        <v>2358239.02</v>
      </c>
      <c r="K45" s="101">
        <f t="shared" si="4"/>
        <v>7.9108990942636709E-2</v>
      </c>
      <c r="L45" s="100">
        <v>2576571.9700000002</v>
      </c>
      <c r="M45" s="101">
        <f t="shared" si="5"/>
        <v>8.3008117590206182E-2</v>
      </c>
      <c r="N45" s="100">
        <v>2308669.88</v>
      </c>
      <c r="O45" s="101">
        <f t="shared" si="6"/>
        <v>7.138744217687075E-2</v>
      </c>
      <c r="P45" s="193">
        <v>2007154.91</v>
      </c>
      <c r="Q45" s="101">
        <f t="shared" si="7"/>
        <v>6.373943823436011E-2</v>
      </c>
      <c r="R45" s="193">
        <v>2179410.2600000002</v>
      </c>
      <c r="S45" s="101">
        <f t="shared" si="8"/>
        <v>6.5332110027526411E-2</v>
      </c>
      <c r="T45" s="193">
        <v>2220205.3434794326</v>
      </c>
      <c r="U45" s="101">
        <f t="shared" si="2"/>
        <v>6.3142954451402653E-2</v>
      </c>
      <c r="V45" s="192"/>
      <c r="W45" s="192"/>
      <c r="X45" s="192"/>
      <c r="Y45" s="192"/>
      <c r="Z45" s="193" t="e">
        <f>+#REF!</f>
        <v>#REF!</v>
      </c>
      <c r="AA45" s="101" t="e">
        <f>+#REF!</f>
        <v>#REF!</v>
      </c>
      <c r="AB45" s="193" t="e">
        <f>+#REF!</f>
        <v>#REF!</v>
      </c>
      <c r="AC45" s="101" t="e">
        <f>+#REF!</f>
        <v>#REF!</v>
      </c>
      <c r="AD45" s="193" t="e">
        <f>+#REF!</f>
        <v>#REF!</v>
      </c>
      <c r="AE45" s="101" t="e">
        <f>+#REF!</f>
        <v>#REF!</v>
      </c>
      <c r="AF45" s="194" t="e">
        <f>+#REF!</f>
        <v>#REF!</v>
      </c>
      <c r="AG45" s="193" t="e">
        <f>+#REF!</f>
        <v>#REF!</v>
      </c>
      <c r="AH45" s="101" t="e">
        <f>+#REF!</f>
        <v>#REF!</v>
      </c>
      <c r="AI45" s="193" t="e">
        <f>+#REF!</f>
        <v>#REF!</v>
      </c>
      <c r="AJ45" s="101" t="e">
        <f>+#REF!</f>
        <v>#REF!</v>
      </c>
      <c r="AK45" s="194" t="e">
        <f>+#REF!</f>
        <v>#REF!</v>
      </c>
      <c r="AL45" s="193" t="e">
        <f>+#REF!</f>
        <v>#REF!</v>
      </c>
      <c r="AM45" s="101" t="e">
        <f>+#REF!</f>
        <v>#REF!</v>
      </c>
      <c r="AN45" s="193" t="e">
        <f>+#REF!</f>
        <v>#REF!</v>
      </c>
      <c r="AO45" s="101" t="e">
        <f>+#REF!</f>
        <v>#REF!</v>
      </c>
      <c r="AQ45" s="102"/>
      <c r="AR45" s="106"/>
      <c r="AS45" s="106"/>
      <c r="AT45" s="106"/>
      <c r="AU45" s="106"/>
      <c r="AV45" s="107"/>
      <c r="AW45" s="81"/>
      <c r="AX45" s="81"/>
      <c r="AY45" s="81"/>
      <c r="AZ45" s="81"/>
      <c r="BA45" s="81"/>
      <c r="BB45" s="81"/>
      <c r="BC45" s="81"/>
      <c r="BD45" s="81"/>
      <c r="BE45" s="81"/>
      <c r="BF45" s="81"/>
      <c r="BG45" s="81"/>
      <c r="BH45" s="81"/>
      <c r="BI45" s="81"/>
      <c r="DU45" s="81"/>
      <c r="DV45" s="81"/>
      <c r="DW45" s="176"/>
      <c r="DX45" s="176"/>
      <c r="DY45" s="176"/>
      <c r="DZ45" s="175"/>
    </row>
    <row r="46" spans="1:130" ht="15" customHeight="1">
      <c r="A46" s="259"/>
      <c r="B46" s="259">
        <v>7155</v>
      </c>
      <c r="C46" s="99" t="str">
        <f>IF(MasterSheet!$A$1=1,MasterSheet!C102,MasterSheet!B102)</f>
        <v>Ostali prihodi</v>
      </c>
      <c r="D46" s="100">
        <v>16388065.619999999</v>
      </c>
      <c r="E46" s="101">
        <f t="shared" si="0"/>
        <v>0.76262579086974736</v>
      </c>
      <c r="F46" s="100">
        <v>11476577.26</v>
      </c>
      <c r="G46" s="101">
        <f t="shared" si="1"/>
        <v>0.42815061592986386</v>
      </c>
      <c r="H46" s="100">
        <v>16875909.18</v>
      </c>
      <c r="I46" s="101">
        <f t="shared" si="3"/>
        <v>0.5469247206378014</v>
      </c>
      <c r="J46" s="100">
        <v>19155760.289999999</v>
      </c>
      <c r="K46" s="101">
        <f t="shared" si="4"/>
        <v>0.64259511204293862</v>
      </c>
      <c r="L46" s="100">
        <v>13868725.91</v>
      </c>
      <c r="M46" s="101">
        <f t="shared" si="5"/>
        <v>0.44680173679123708</v>
      </c>
      <c r="N46" s="100">
        <v>9906679.5199999996</v>
      </c>
      <c r="O46" s="101">
        <f t="shared" si="6"/>
        <v>0.30632898948670373</v>
      </c>
      <c r="P46" s="193">
        <v>11584922.26</v>
      </c>
      <c r="Q46" s="101">
        <f t="shared" si="7"/>
        <v>0.36789210098443953</v>
      </c>
      <c r="R46" s="193">
        <v>12557210.530000001</v>
      </c>
      <c r="S46" s="101">
        <f t="shared" si="8"/>
        <v>0.37642708903498195</v>
      </c>
      <c r="T46" s="193">
        <v>11832884.939003492</v>
      </c>
      <c r="U46" s="101">
        <f t="shared" si="2"/>
        <v>0.33652892374416871</v>
      </c>
      <c r="V46" s="192">
        <v>-1300000</v>
      </c>
      <c r="W46" s="192"/>
      <c r="X46" s="192"/>
      <c r="Y46" s="192"/>
      <c r="Z46" s="193" t="e">
        <f>+#REF!</f>
        <v>#REF!</v>
      </c>
      <c r="AA46" s="101" t="e">
        <f>+#REF!</f>
        <v>#REF!</v>
      </c>
      <c r="AB46" s="193" t="e">
        <f>+#REF!</f>
        <v>#REF!</v>
      </c>
      <c r="AC46" s="101" t="e">
        <f>+#REF!</f>
        <v>#REF!</v>
      </c>
      <c r="AD46" s="193" t="e">
        <f>+#REF!</f>
        <v>#REF!</v>
      </c>
      <c r="AE46" s="101" t="e">
        <f>+#REF!</f>
        <v>#REF!</v>
      </c>
      <c r="AF46" s="194" t="e">
        <f>+#REF!</f>
        <v>#REF!</v>
      </c>
      <c r="AG46" s="193" t="e">
        <f>+#REF!</f>
        <v>#REF!</v>
      </c>
      <c r="AH46" s="101" t="e">
        <f>+#REF!</f>
        <v>#REF!</v>
      </c>
      <c r="AI46" s="193" t="e">
        <f>+#REF!</f>
        <v>#REF!</v>
      </c>
      <c r="AJ46" s="101" t="e">
        <f>+#REF!</f>
        <v>#REF!</v>
      </c>
      <c r="AK46" s="194" t="e">
        <f>+#REF!</f>
        <v>#REF!</v>
      </c>
      <c r="AL46" s="193" t="e">
        <f>+#REF!</f>
        <v>#REF!</v>
      </c>
      <c r="AM46" s="101" t="e">
        <f>+#REF!</f>
        <v>#REF!</v>
      </c>
      <c r="AN46" s="193" t="e">
        <f>+#REF!</f>
        <v>#REF!</v>
      </c>
      <c r="AO46" s="101" t="e">
        <f>+#REF!</f>
        <v>#REF!</v>
      </c>
      <c r="AQ46" s="102"/>
      <c r="AR46" s="106"/>
      <c r="AS46" s="106"/>
      <c r="AT46" s="106"/>
      <c r="AU46" s="106"/>
      <c r="AV46" s="107"/>
      <c r="AW46" s="81"/>
      <c r="AX46" s="81"/>
      <c r="AY46" s="81"/>
      <c r="AZ46" s="81"/>
      <c r="BA46" s="81"/>
      <c r="BB46" s="81"/>
      <c r="BC46" s="81"/>
      <c r="BD46" s="81"/>
      <c r="BE46" s="81"/>
      <c r="BF46" s="81"/>
      <c r="BG46" s="81"/>
      <c r="BH46" s="81"/>
      <c r="BI46" s="81"/>
      <c r="DT46" s="105"/>
      <c r="DU46" s="105"/>
      <c r="DV46" s="102"/>
      <c r="DW46" s="176"/>
      <c r="DX46" s="176"/>
      <c r="DY46" s="176"/>
      <c r="DZ46" s="175"/>
    </row>
    <row r="47" spans="1:130">
      <c r="A47" s="259"/>
      <c r="B47" s="259">
        <v>73</v>
      </c>
      <c r="C47" s="110" t="str">
        <f>IF(MasterSheet!$A$1=1,MasterSheet!C103,MasterSheet!B103)</f>
        <v>Primici od otplate kredita i sredstva prenijeta iz prethodne godine</v>
      </c>
      <c r="D47" s="95">
        <v>12337841.16</v>
      </c>
      <c r="E47" s="98">
        <f t="shared" si="0"/>
        <v>0.57414682674856898</v>
      </c>
      <c r="F47" s="95">
        <v>10241165.600000001</v>
      </c>
      <c r="G47" s="98">
        <f t="shared" si="1"/>
        <v>0.38206176459615748</v>
      </c>
      <c r="H47" s="95">
        <v>8998827.7799999993</v>
      </c>
      <c r="I47" s="98">
        <f t="shared" si="3"/>
        <v>0.29163947951775987</v>
      </c>
      <c r="J47" s="95">
        <v>54812548.920000002</v>
      </c>
      <c r="K47" s="98">
        <f t="shared" si="4"/>
        <v>1.83873025561892</v>
      </c>
      <c r="L47" s="95">
        <v>4969313.91</v>
      </c>
      <c r="M47" s="98">
        <f t="shared" si="5"/>
        <v>0.16009387596649485</v>
      </c>
      <c r="N47" s="95">
        <v>5006443.9800000004</v>
      </c>
      <c r="O47" s="98">
        <f t="shared" si="6"/>
        <v>0.15480655473098331</v>
      </c>
      <c r="P47" s="189">
        <v>5498802.5</v>
      </c>
      <c r="Q47" s="98">
        <f t="shared" si="7"/>
        <v>0.17462059383931408</v>
      </c>
      <c r="R47" s="189">
        <v>7564493.0600000005</v>
      </c>
      <c r="S47" s="98">
        <f t="shared" si="8"/>
        <v>0.22676056085850488</v>
      </c>
      <c r="T47" s="189">
        <v>7046262.4871663069</v>
      </c>
      <c r="U47" s="98">
        <f t="shared" si="2"/>
        <v>0.20039670320876826</v>
      </c>
      <c r="V47" s="96"/>
      <c r="W47" s="96"/>
      <c r="X47" s="96"/>
      <c r="Y47" s="96"/>
      <c r="Z47" s="189" t="e">
        <f>+#REF!</f>
        <v>#REF!</v>
      </c>
      <c r="AA47" s="98" t="e">
        <f>+#REF!</f>
        <v>#REF!</v>
      </c>
      <c r="AB47" s="189" t="e">
        <f>+#REF!</f>
        <v>#REF!</v>
      </c>
      <c r="AC47" s="98" t="e">
        <f>+#REF!</f>
        <v>#REF!</v>
      </c>
      <c r="AD47" s="189" t="e">
        <f>+#REF!</f>
        <v>#REF!</v>
      </c>
      <c r="AE47" s="98" t="e">
        <f>+#REF!</f>
        <v>#REF!</v>
      </c>
      <c r="AF47" s="190" t="e">
        <f>+#REF!</f>
        <v>#REF!</v>
      </c>
      <c r="AG47" s="189" t="e">
        <f>+#REF!</f>
        <v>#REF!</v>
      </c>
      <c r="AH47" s="98" t="e">
        <f>+#REF!</f>
        <v>#REF!</v>
      </c>
      <c r="AI47" s="189" t="e">
        <f>+#REF!</f>
        <v>#REF!</v>
      </c>
      <c r="AJ47" s="98" t="e">
        <f>+#REF!</f>
        <v>#REF!</v>
      </c>
      <c r="AK47" s="190" t="e">
        <f>+#REF!</f>
        <v>#REF!</v>
      </c>
      <c r="AL47" s="189" t="e">
        <f>+#REF!</f>
        <v>#REF!</v>
      </c>
      <c r="AM47" s="98" t="e">
        <f>+#REF!</f>
        <v>#REF!</v>
      </c>
      <c r="AN47" s="189" t="e">
        <f>+#REF!</f>
        <v>#REF!</v>
      </c>
      <c r="AO47" s="98" t="e">
        <f>+#REF!</f>
        <v>#REF!</v>
      </c>
      <c r="AQ47" s="102"/>
      <c r="AR47" s="106"/>
      <c r="AS47" s="106"/>
      <c r="AT47" s="106"/>
      <c r="AU47" s="106"/>
      <c r="AV47" s="107"/>
      <c r="AW47" s="81"/>
      <c r="AX47" s="81"/>
      <c r="AY47" s="81"/>
      <c r="AZ47" s="81"/>
      <c r="BA47" s="81"/>
      <c r="BB47" s="81"/>
      <c r="BC47" s="81"/>
      <c r="BD47" s="81"/>
      <c r="BE47" s="81"/>
      <c r="BF47" s="81"/>
      <c r="BG47" s="81"/>
      <c r="BH47" s="81"/>
      <c r="BI47" s="81"/>
      <c r="DT47" s="105"/>
      <c r="DU47" s="105"/>
      <c r="DV47" s="102"/>
      <c r="DW47" s="176"/>
      <c r="DX47" s="176"/>
      <c r="DY47" s="176"/>
      <c r="DZ47" s="175"/>
    </row>
    <row r="48" spans="1:130" ht="13.5" customHeight="1" thickBot="1">
      <c r="A48" s="259"/>
      <c r="B48" s="260">
        <v>74</v>
      </c>
      <c r="C48" s="94" t="s">
        <v>123</v>
      </c>
      <c r="D48" s="95">
        <v>189875.77</v>
      </c>
      <c r="E48" s="98">
        <f t="shared" si="0"/>
        <v>8.8359518823584154E-3</v>
      </c>
      <c r="F48" s="95">
        <v>86112.85</v>
      </c>
      <c r="G48" s="98">
        <f t="shared" si="1"/>
        <v>3.2125666853199033E-3</v>
      </c>
      <c r="H48" s="95">
        <v>2235692.06</v>
      </c>
      <c r="I48" s="98">
        <f>H48/H$11*100</f>
        <v>7.2455666969147001E-2</v>
      </c>
      <c r="J48" s="95">
        <v>6019555.9299999997</v>
      </c>
      <c r="K48" s="98">
        <f>J48/J$11*100</f>
        <v>0.20193075914122777</v>
      </c>
      <c r="L48" s="95">
        <v>5128633.8</v>
      </c>
      <c r="M48" s="98">
        <f>L48/L$11*100</f>
        <v>0.16522660438144329</v>
      </c>
      <c r="N48" s="95">
        <v>4014349.98</v>
      </c>
      <c r="O48" s="98">
        <f>N48/N$11*100</f>
        <v>0.12412956029684601</v>
      </c>
      <c r="P48" s="189">
        <v>5037276.03</v>
      </c>
      <c r="Q48" s="98">
        <f>P48/P$11*100</f>
        <v>0.15996430708161322</v>
      </c>
      <c r="R48" s="189">
        <v>6615451.54</v>
      </c>
      <c r="S48" s="98">
        <f>R48/R$11*100</f>
        <v>0.19831117427750797</v>
      </c>
      <c r="T48" s="189">
        <v>8000000</v>
      </c>
      <c r="U48" s="98">
        <f t="shared" si="2"/>
        <v>0.22752113316670824</v>
      </c>
      <c r="V48" s="96"/>
      <c r="W48" s="96"/>
      <c r="X48" s="96"/>
      <c r="Y48" s="96"/>
      <c r="Z48" s="189" t="e">
        <f>+#REF!</f>
        <v>#REF!</v>
      </c>
      <c r="AA48" s="98" t="e">
        <f>Z48/Z$11*100</f>
        <v>#REF!</v>
      </c>
      <c r="AB48" s="189" t="e">
        <f>+#REF!</f>
        <v>#REF!</v>
      </c>
      <c r="AC48" s="98" t="e">
        <f>AB48/AB$11*100</f>
        <v>#REF!</v>
      </c>
      <c r="AD48" s="189">
        <v>0</v>
      </c>
      <c r="AE48" s="98">
        <f>AD48/AD$11*100</f>
        <v>0</v>
      </c>
      <c r="AF48" s="190"/>
      <c r="AG48" s="189">
        <v>0</v>
      </c>
      <c r="AH48" s="98">
        <f>AG48/AG$11*100</f>
        <v>0</v>
      </c>
      <c r="AI48" s="189">
        <v>0</v>
      </c>
      <c r="AJ48" s="98">
        <f>AI48/AI$11*100</f>
        <v>0</v>
      </c>
      <c r="AK48" s="190"/>
      <c r="AL48" s="189">
        <v>0</v>
      </c>
      <c r="AM48" s="98">
        <f>AL48/AL$11*100</f>
        <v>0</v>
      </c>
      <c r="AN48" s="189">
        <v>0</v>
      </c>
      <c r="AO48" s="98">
        <f>AN48/AN$11*100</f>
        <v>0</v>
      </c>
      <c r="AQ48" s="102"/>
      <c r="AR48" s="106"/>
      <c r="AS48" s="106"/>
      <c r="AT48" s="106"/>
      <c r="AU48" s="106"/>
      <c r="AV48" s="107"/>
      <c r="AW48" s="81"/>
      <c r="AX48" s="81"/>
      <c r="AY48" s="81"/>
      <c r="AZ48" s="81"/>
      <c r="BA48" s="81"/>
      <c r="BB48" s="81"/>
      <c r="BC48" s="81"/>
      <c r="BD48" s="81"/>
      <c r="BE48" s="81"/>
      <c r="BF48" s="81"/>
      <c r="BG48" s="81"/>
      <c r="BH48" s="81"/>
      <c r="BI48" s="81"/>
      <c r="DU48" s="198"/>
      <c r="DV48" s="198"/>
      <c r="DW48" s="176"/>
      <c r="DX48" s="176"/>
      <c r="DY48" s="176"/>
      <c r="DZ48" s="175"/>
    </row>
    <row r="49" spans="1:130" ht="15" customHeight="1" thickTop="1" thickBot="1">
      <c r="A49" s="259"/>
      <c r="B49" s="261"/>
      <c r="C49" s="90" t="str">
        <f>IF(MasterSheet!$A$1=1,MasterSheet!C104,MasterSheet!B104)</f>
        <v>Izdaci</v>
      </c>
      <c r="D49" s="91">
        <f>+D51+D62+D68+SUM(D71:D75)</f>
        <v>747917838.58000004</v>
      </c>
      <c r="E49" s="92">
        <f t="shared" si="0"/>
        <v>34.804683260272704</v>
      </c>
      <c r="F49" s="91">
        <f>+F51+F62+F68+SUM(F71:F75)</f>
        <v>951337553.28000009</v>
      </c>
      <c r="G49" s="92">
        <f t="shared" si="1"/>
        <v>35.491048434247347</v>
      </c>
      <c r="H49" s="91">
        <f>+H51+H62+H68+SUM(H71:H75)</f>
        <v>1196864274.8299999</v>
      </c>
      <c r="I49" s="92">
        <f t="shared" si="3"/>
        <v>38.788704784482761</v>
      </c>
      <c r="J49" s="91">
        <f>+J51+J62+J68+SUM(J71:J75)</f>
        <v>1274851488.6244998</v>
      </c>
      <c r="K49" s="92">
        <f t="shared" si="4"/>
        <v>42.765900322861448</v>
      </c>
      <c r="L49" s="91">
        <f>+L51+L62+L68+SUM(L71:L75)</f>
        <v>1233229755.4300003</v>
      </c>
      <c r="M49" s="92">
        <f t="shared" si="5"/>
        <v>39.730340058956195</v>
      </c>
      <c r="N49" s="91">
        <f>+N51+N62+N68+SUM(N71:N75)</f>
        <v>1301805409.21</v>
      </c>
      <c r="O49" s="92">
        <f t="shared" si="6"/>
        <v>40.253723228509585</v>
      </c>
      <c r="P49" s="91">
        <f>+P51+P62+P68+SUM(P71:P75)</f>
        <v>1320488248.98</v>
      </c>
      <c r="Q49" s="92">
        <f t="shared" si="7"/>
        <v>41.933574118132746</v>
      </c>
      <c r="R49" s="91">
        <f>+R51+R62+R68+SUM(R71:R75)</f>
        <v>1363467004.0629177</v>
      </c>
      <c r="S49" s="92">
        <f t="shared" si="8"/>
        <v>40.87260575176898</v>
      </c>
      <c r="T49" s="91">
        <f>+T51+T62+T68+SUM(T71:T75)</f>
        <v>1337605069.8199997</v>
      </c>
      <c r="U49" s="92">
        <f t="shared" ref="U49:U70" si="9">T49/T$11*100</f>
        <v>38.041677651872526</v>
      </c>
      <c r="V49" s="197"/>
      <c r="W49" s="197"/>
      <c r="X49" s="238">
        <f t="shared" ref="X49:X70" si="10">+Z49-T49</f>
        <v>30153201.25999999</v>
      </c>
      <c r="Y49" s="238">
        <f t="shared" ref="Y49:Y70" si="11">+Z49-R49</f>
        <v>4291267.0170819759</v>
      </c>
      <c r="Z49" s="91">
        <f>+Z51+Z62+Z68+SUM(Z71:Z75)</f>
        <v>1367758271.0799997</v>
      </c>
      <c r="AA49" s="92">
        <f t="shared" ref="AA49:AA70" si="12">Z49/Z$11*100</f>
        <v>38.899238966782399</v>
      </c>
      <c r="AB49" s="93"/>
      <c r="AC49" s="93"/>
      <c r="AD49" s="91">
        <f>+AD51+AD62+AD68+SUM(AD71:AD75)</f>
        <v>1302622024.8740106</v>
      </c>
      <c r="AE49" s="92">
        <f t="shared" ref="AE49:AE81" si="13">AD49/AD$11*100</f>
        <v>35.092123613153227</v>
      </c>
      <c r="AF49" s="197"/>
      <c r="AG49" s="91">
        <f>+AG51+AG62+AG68+SUM(AG71:AG75)</f>
        <v>1493065095.2929366</v>
      </c>
      <c r="AH49" s="92">
        <f t="shared" ref="AH49:AH60" si="14">AG49/AG$11*100</f>
        <v>40.22258482200295</v>
      </c>
      <c r="AI49" s="91">
        <f>+AI51+AI62+AI68+SUM(AI71:AI75)</f>
        <v>1324615057.9963973</v>
      </c>
      <c r="AJ49" s="92">
        <f t="shared" ref="AJ49:AJ60" si="15">AI49/AI$11*100</f>
        <v>33.704151320136774</v>
      </c>
      <c r="AK49" s="197"/>
      <c r="AL49" s="91">
        <f>+AL51+AL62+AL68+SUM(AL71:AL75)</f>
        <v>1590760720.3210421</v>
      </c>
      <c r="AM49" s="92">
        <f t="shared" ref="AM49:AM70" si="16">AL49/AL$11*100</f>
        <v>40.476091305294531</v>
      </c>
      <c r="AN49" s="91">
        <f>+AN51+AN62+AN68+SUM(AN71:AN75)</f>
        <v>1693187139.3459761</v>
      </c>
      <c r="AO49" s="92">
        <f t="shared" ref="AO49:AO70" si="17">AN49/AN$11*100</f>
        <v>40.61300815094495</v>
      </c>
      <c r="AQ49" s="177"/>
      <c r="AR49" s="112"/>
      <c r="AS49" s="112"/>
      <c r="AT49" s="112"/>
      <c r="AU49" s="112"/>
      <c r="AV49" s="107"/>
      <c r="AW49" s="81"/>
      <c r="AX49" s="81"/>
      <c r="AY49" s="81"/>
      <c r="AZ49" s="81"/>
      <c r="BA49" s="81"/>
      <c r="BB49" s="81"/>
      <c r="BC49" s="81"/>
      <c r="BD49" s="81"/>
      <c r="BE49" s="81"/>
      <c r="BF49" s="81"/>
      <c r="BG49" s="81"/>
      <c r="BH49" s="81"/>
      <c r="BI49" s="81"/>
      <c r="DU49" s="81"/>
      <c r="DV49" s="81"/>
      <c r="DW49" s="176"/>
      <c r="DX49" s="176"/>
      <c r="DY49" s="176"/>
      <c r="DZ49" s="175"/>
    </row>
    <row r="50" spans="1:130" ht="13.5" customHeight="1" thickTop="1" thickBot="1">
      <c r="A50" s="259"/>
      <c r="B50" s="259"/>
      <c r="C50" s="90" t="str">
        <f>IF(MasterSheet!$A$1=1,MasterSheet!C105,MasterSheet!B105)</f>
        <v>Tekuća budžetska potrošnja</v>
      </c>
      <c r="D50" s="91">
        <f>+D49-D71</f>
        <v>747917838.58000004</v>
      </c>
      <c r="E50" s="92">
        <f t="shared" si="0"/>
        <v>34.804683260272704</v>
      </c>
      <c r="F50" s="91">
        <f>+F49-F71</f>
        <v>868878314.29000008</v>
      </c>
      <c r="G50" s="92">
        <f t="shared" si="1"/>
        <v>32.414785088229806</v>
      </c>
      <c r="H50" s="91">
        <f>+H49-H71</f>
        <v>1123493415.3699999</v>
      </c>
      <c r="I50" s="92">
        <f t="shared" si="3"/>
        <v>36.410857381708581</v>
      </c>
      <c r="J50" s="91">
        <f>+J49-J71</f>
        <v>1162486791.9844997</v>
      </c>
      <c r="K50" s="92">
        <f t="shared" si="4"/>
        <v>38.996537805585362</v>
      </c>
      <c r="L50" s="91">
        <f>+L49-L71</f>
        <v>1169979386.6200004</v>
      </c>
      <c r="M50" s="92">
        <f t="shared" si="5"/>
        <v>37.692634878221661</v>
      </c>
      <c r="N50" s="91">
        <f>+N49-N71</f>
        <v>1234690221.24</v>
      </c>
      <c r="O50" s="92">
        <f t="shared" si="6"/>
        <v>38.178423662337664</v>
      </c>
      <c r="P50" s="91">
        <f>+P49-P71</f>
        <v>1244445549</v>
      </c>
      <c r="Q50" s="92">
        <f t="shared" si="7"/>
        <v>39.518753540806607</v>
      </c>
      <c r="R50" s="91">
        <f>+R49-R71</f>
        <v>1301681501.2029178</v>
      </c>
      <c r="S50" s="92">
        <f t="shared" si="8"/>
        <v>39.020463754898891</v>
      </c>
      <c r="T50" s="91">
        <f>+T49-T71</f>
        <v>1235784569.8199997</v>
      </c>
      <c r="U50" s="92">
        <f t="shared" si="9"/>
        <v>35.145888209422424</v>
      </c>
      <c r="V50" s="197"/>
      <c r="W50" s="197"/>
      <c r="X50" s="238">
        <f t="shared" si="10"/>
        <v>5153201.2599999905</v>
      </c>
      <c r="Y50" s="238">
        <f t="shared" si="11"/>
        <v>-60743730.122918129</v>
      </c>
      <c r="Z50" s="91">
        <f>+Z49-Z71</f>
        <v>1240937771.0799997</v>
      </c>
      <c r="AA50" s="92">
        <f t="shared" si="12"/>
        <v>35.29244598318634</v>
      </c>
      <c r="AB50" s="93"/>
      <c r="AC50" s="93"/>
      <c r="AD50" s="91">
        <f>+AD49-AD71</f>
        <v>1196995647.3822105</v>
      </c>
      <c r="AE50" s="92">
        <f t="shared" si="13"/>
        <v>32.246590661174821</v>
      </c>
      <c r="AF50" s="197"/>
      <c r="AG50" s="91">
        <f>+AG49-AG71</f>
        <v>1263065095.2929366</v>
      </c>
      <c r="AH50" s="92">
        <f t="shared" si="14"/>
        <v>34.026475530970593</v>
      </c>
      <c r="AI50" s="91">
        <f>+AI49-AI71</f>
        <v>1215819889.1798432</v>
      </c>
      <c r="AJ50" s="92">
        <f t="shared" si="15"/>
        <v>30.935914004278832</v>
      </c>
      <c r="AK50" s="197"/>
      <c r="AL50" s="91">
        <f>+AL49-AL71</f>
        <v>1260760720.3210421</v>
      </c>
      <c r="AM50" s="92">
        <f t="shared" si="16"/>
        <v>32.079410421665777</v>
      </c>
      <c r="AN50" s="91">
        <f>+AN49-AN71</f>
        <v>1263187139.3459761</v>
      </c>
      <c r="AO50" s="92">
        <f t="shared" si="17"/>
        <v>30.298971917683719</v>
      </c>
      <c r="AQ50" s="105"/>
      <c r="AR50" s="106"/>
      <c r="AS50" s="106"/>
      <c r="AT50" s="106"/>
      <c r="AU50" s="106"/>
      <c r="AV50" s="107"/>
      <c r="AW50" s="81"/>
      <c r="AX50" s="81"/>
      <c r="AY50" s="81"/>
      <c r="AZ50" s="81"/>
      <c r="BA50" s="81"/>
      <c r="BB50" s="81"/>
      <c r="BC50" s="81"/>
      <c r="BD50" s="81"/>
      <c r="BE50" s="81"/>
      <c r="BF50" s="81"/>
      <c r="BG50" s="81"/>
      <c r="BH50" s="81"/>
      <c r="BI50" s="81"/>
      <c r="DU50" s="198"/>
      <c r="DV50" s="198"/>
      <c r="DW50" s="176"/>
      <c r="DX50" s="176"/>
      <c r="DY50" s="176"/>
      <c r="DZ50" s="175"/>
    </row>
    <row r="51" spans="1:130" ht="13.5" customHeight="1" thickTop="1">
      <c r="A51" s="259">
        <v>41</v>
      </c>
      <c r="B51" s="259"/>
      <c r="C51" s="94" t="s">
        <v>63</v>
      </c>
      <c r="D51" s="95">
        <f>+SUM(D52:D60)</f>
        <v>396117586.80000001</v>
      </c>
      <c r="E51" s="98">
        <f t="shared" si="0"/>
        <v>18.433504900181489</v>
      </c>
      <c r="F51" s="95">
        <f>+SUM(F52:F60)</f>
        <v>494161800.55000001</v>
      </c>
      <c r="G51" s="98">
        <f t="shared" si="1"/>
        <v>18.435433708263385</v>
      </c>
      <c r="H51" s="95">
        <f>+SUM(H52:H60)</f>
        <v>488263441.80999988</v>
      </c>
      <c r="I51" s="98">
        <f t="shared" si="3"/>
        <v>15.823938352670467</v>
      </c>
      <c r="J51" s="95">
        <f>+SUM(J52:J60)</f>
        <v>485900381.46449983</v>
      </c>
      <c r="K51" s="98">
        <f t="shared" si="4"/>
        <v>16.299912159157994</v>
      </c>
      <c r="L51" s="95">
        <f>+SUM(L52:L60)</f>
        <v>525725762.2100001</v>
      </c>
      <c r="M51" s="98">
        <f t="shared" si="5"/>
        <v>16.937041308311859</v>
      </c>
      <c r="N51" s="95">
        <f>+SUM(N52:N60)</f>
        <v>615023773.2299999</v>
      </c>
      <c r="O51" s="98">
        <f t="shared" si="6"/>
        <v>19.017432691094616</v>
      </c>
      <c r="P51" s="95">
        <f>+SUM(P52:P60)</f>
        <v>653611944.31999993</v>
      </c>
      <c r="Q51" s="98">
        <f t="shared" si="7"/>
        <v>20.756174795808192</v>
      </c>
      <c r="R51" s="95">
        <f>+SUM(R52:R61)</f>
        <v>600287648.01291776</v>
      </c>
      <c r="S51" s="98">
        <f t="shared" si="8"/>
        <v>17.994803175857761</v>
      </c>
      <c r="T51" s="95">
        <f>+SUM(T52:T61)</f>
        <v>625526473.45999992</v>
      </c>
      <c r="U51" s="98">
        <f t="shared" si="9"/>
        <v>17.790061508424255</v>
      </c>
      <c r="V51" s="190"/>
      <c r="W51" s="190"/>
      <c r="X51" s="239">
        <f t="shared" si="10"/>
        <v>0</v>
      </c>
      <c r="Y51" s="239">
        <f t="shared" si="11"/>
        <v>25238825.447082162</v>
      </c>
      <c r="Z51" s="95">
        <f>+SUM(Z52:Z61)</f>
        <v>625526473.45999992</v>
      </c>
      <c r="AA51" s="98">
        <f t="shared" si="12"/>
        <v>17.790061508424255</v>
      </c>
      <c r="AB51" s="96"/>
      <c r="AC51" s="96"/>
      <c r="AD51" s="95">
        <f>+SUM(AD52:AD60)</f>
        <v>595842440.03666019</v>
      </c>
      <c r="AE51" s="98">
        <f t="shared" si="13"/>
        <v>16.051760342184963</v>
      </c>
      <c r="AF51" s="190"/>
      <c r="AG51" s="95">
        <f>+SUM(AG52:AG61)</f>
        <v>631911316.15473676</v>
      </c>
      <c r="AH51" s="98">
        <f t="shared" si="14"/>
        <v>17.023441639716744</v>
      </c>
      <c r="AI51" s="95">
        <f>+SUM(AI52:AI60)</f>
        <v>608690098.36291015</v>
      </c>
      <c r="AJ51" s="98">
        <f t="shared" si="15"/>
        <v>15.4878076150847</v>
      </c>
      <c r="AK51" s="190"/>
      <c r="AL51" s="95">
        <f>+SUM(AL52:AL61)</f>
        <v>623902066.64612997</v>
      </c>
      <c r="AM51" s="98">
        <f t="shared" si="16"/>
        <v>15.874868352315241</v>
      </c>
      <c r="AN51" s="95">
        <f>+SUM(AN52:AN61)</f>
        <v>619769489.24437904</v>
      </c>
      <c r="AO51" s="98">
        <f t="shared" si="17"/>
        <v>14.865872019386819</v>
      </c>
      <c r="AQ51" s="105"/>
      <c r="AR51" s="106"/>
      <c r="AS51" s="106"/>
      <c r="AT51" s="106"/>
      <c r="AU51" s="106"/>
      <c r="AV51" s="107"/>
      <c r="AW51" s="81"/>
      <c r="AX51" s="81"/>
      <c r="AY51" s="81"/>
      <c r="AZ51" s="81"/>
      <c r="BA51" s="81"/>
      <c r="BB51" s="81"/>
      <c r="BC51" s="81"/>
      <c r="BD51" s="81"/>
      <c r="BE51" s="81"/>
      <c r="BF51" s="81"/>
      <c r="BG51" s="81"/>
      <c r="BH51" s="81"/>
      <c r="BI51" s="81"/>
      <c r="DU51" s="198"/>
      <c r="DV51" s="198"/>
      <c r="DW51" s="176"/>
      <c r="DX51" s="176"/>
      <c r="DY51" s="176"/>
      <c r="DZ51" s="175"/>
    </row>
    <row r="52" spans="1:130" ht="13.5" customHeight="1">
      <c r="A52" s="259"/>
      <c r="B52" s="259">
        <v>411</v>
      </c>
      <c r="C52" s="94" t="s">
        <v>64</v>
      </c>
      <c r="D52" s="95">
        <v>211619268.66999999</v>
      </c>
      <c r="E52" s="98">
        <f t="shared" si="0"/>
        <v>9.8477950891153601</v>
      </c>
      <c r="F52" s="95">
        <v>256098289.82000002</v>
      </c>
      <c r="G52" s="98">
        <f t="shared" si="1"/>
        <v>9.5541238507741095</v>
      </c>
      <c r="H52" s="95">
        <v>274699863.13999999</v>
      </c>
      <c r="I52" s="98">
        <f t="shared" si="3"/>
        <v>8.9026401069484056</v>
      </c>
      <c r="J52" s="95">
        <v>259160937.78449979</v>
      </c>
      <c r="K52" s="98">
        <f t="shared" si="4"/>
        <v>8.6937583959912725</v>
      </c>
      <c r="L52" s="95">
        <v>283662646.70999998</v>
      </c>
      <c r="M52" s="98">
        <f t="shared" si="5"/>
        <v>9.138616195554123</v>
      </c>
      <c r="N52" s="95">
        <v>371258246.90999997</v>
      </c>
      <c r="O52" s="98">
        <f t="shared" si="6"/>
        <v>11.479846843228199</v>
      </c>
      <c r="P52" s="189">
        <v>374653307.63</v>
      </c>
      <c r="Q52" s="98">
        <f t="shared" si="7"/>
        <v>11.897532792315021</v>
      </c>
      <c r="R52" s="189">
        <v>366128508.17291778</v>
      </c>
      <c r="S52" s="98">
        <f t="shared" si="8"/>
        <v>10.975422305375018</v>
      </c>
      <c r="T52" s="189">
        <v>386488693.71999997</v>
      </c>
      <c r="U52" s="98">
        <f t="shared" si="9"/>
        <v>10.991793193911903</v>
      </c>
      <c r="V52" s="190"/>
      <c r="W52" s="190"/>
      <c r="X52" s="239">
        <f t="shared" si="10"/>
        <v>0</v>
      </c>
      <c r="Y52" s="239">
        <f t="shared" si="11"/>
        <v>20360185.547082186</v>
      </c>
      <c r="Z52" s="189">
        <v>386488693.71999997</v>
      </c>
      <c r="AA52" s="98">
        <f t="shared" si="12"/>
        <v>10.991793193911903</v>
      </c>
      <c r="AB52" s="96"/>
      <c r="AC52" s="96"/>
      <c r="AD52" s="189">
        <v>387010899.19919997</v>
      </c>
      <c r="AE52" s="98">
        <f t="shared" si="13"/>
        <v>10.425920992430221</v>
      </c>
      <c r="AF52" s="190">
        <v>0</v>
      </c>
      <c r="AG52" s="189">
        <v>394218467.59439999</v>
      </c>
      <c r="AH52" s="98">
        <f t="shared" si="14"/>
        <v>10.620090042426959</v>
      </c>
      <c r="AI52" s="189">
        <v>388945953.69519585</v>
      </c>
      <c r="AJ52" s="98">
        <f t="shared" si="15"/>
        <v>9.8965304671430427</v>
      </c>
      <c r="AK52" s="190">
        <v>0</v>
      </c>
      <c r="AL52" s="189">
        <v>396189559.93237197</v>
      </c>
      <c r="AM52" s="98">
        <f t="shared" si="16"/>
        <v>10.080840315689196</v>
      </c>
      <c r="AN52" s="189">
        <v>398170507.73203379</v>
      </c>
      <c r="AO52" s="98">
        <f t="shared" si="17"/>
        <v>9.5505698692191103</v>
      </c>
      <c r="AQ52" s="105"/>
      <c r="AR52" s="106"/>
      <c r="AS52" s="106"/>
      <c r="AT52" s="106"/>
      <c r="AU52" s="106"/>
      <c r="AV52" s="107"/>
      <c r="AW52" s="81"/>
      <c r="AX52" s="81"/>
      <c r="AY52" s="81"/>
      <c r="AZ52" s="81"/>
      <c r="BA52" s="81"/>
      <c r="BB52" s="81"/>
      <c r="BC52" s="81"/>
      <c r="BD52" s="81"/>
      <c r="BE52" s="81"/>
      <c r="BF52" s="81"/>
      <c r="BG52" s="81"/>
      <c r="BH52" s="81"/>
      <c r="BI52" s="81"/>
      <c r="DU52" s="198"/>
      <c r="DV52" s="198"/>
      <c r="DW52" s="176"/>
      <c r="DX52" s="176"/>
      <c r="DY52" s="176"/>
      <c r="DZ52" s="175"/>
    </row>
    <row r="53" spans="1:130" ht="13.5" customHeight="1">
      <c r="A53" s="259"/>
      <c r="B53" s="259">
        <v>412</v>
      </c>
      <c r="C53" s="94" t="s">
        <v>75</v>
      </c>
      <c r="D53" s="95">
        <v>15461447.869999999</v>
      </c>
      <c r="E53" s="98">
        <f t="shared" si="0"/>
        <v>0.71950522918702586</v>
      </c>
      <c r="F53" s="95">
        <v>27511729.489999998</v>
      </c>
      <c r="G53" s="98">
        <f t="shared" si="1"/>
        <v>1.0263655844058945</v>
      </c>
      <c r="H53" s="95">
        <v>21753186.010000002</v>
      </c>
      <c r="I53" s="98">
        <f t="shared" si="3"/>
        <v>0.7049904721934146</v>
      </c>
      <c r="J53" s="95">
        <v>21646046.59</v>
      </c>
      <c r="K53" s="98">
        <f t="shared" si="4"/>
        <v>0.72613373331096953</v>
      </c>
      <c r="L53" s="95">
        <v>18835767.040000003</v>
      </c>
      <c r="M53" s="98">
        <f t="shared" si="5"/>
        <v>0.60682239175257746</v>
      </c>
      <c r="N53" s="95">
        <v>12829673.57</v>
      </c>
      <c r="O53" s="98">
        <f t="shared" si="6"/>
        <v>0.39671223160173164</v>
      </c>
      <c r="P53" s="189">
        <v>10336327.24</v>
      </c>
      <c r="Q53" s="98">
        <f t="shared" si="7"/>
        <v>0.32824157637345192</v>
      </c>
      <c r="R53" s="189">
        <v>12022159.040000001</v>
      </c>
      <c r="S53" s="98">
        <f t="shared" si="8"/>
        <v>0.36038786803256645</v>
      </c>
      <c r="T53" s="189">
        <v>11478163.960000001</v>
      </c>
      <c r="U53" s="98">
        <f t="shared" si="9"/>
        <v>0.3264406088565589</v>
      </c>
      <c r="V53" s="190"/>
      <c r="W53" s="190"/>
      <c r="X53" s="239">
        <f t="shared" si="10"/>
        <v>0</v>
      </c>
      <c r="Y53" s="239">
        <f t="shared" si="11"/>
        <v>-543995.08000000007</v>
      </c>
      <c r="Z53" s="189">
        <v>11478163.960000001</v>
      </c>
      <c r="AA53" s="98">
        <f t="shared" si="12"/>
        <v>0.3264406088565589</v>
      </c>
      <c r="AB53" s="96"/>
      <c r="AC53" s="96"/>
      <c r="AD53" s="189">
        <v>9881144.4494801089</v>
      </c>
      <c r="AE53" s="98">
        <f t="shared" si="13"/>
        <v>0.2661941344758979</v>
      </c>
      <c r="AF53" s="190">
        <v>0</v>
      </c>
      <c r="AG53" s="189">
        <v>11363382.320400001</v>
      </c>
      <c r="AH53" s="98">
        <f t="shared" si="14"/>
        <v>0.30612503814340564</v>
      </c>
      <c r="AI53" s="189">
        <v>8577730.8111422528</v>
      </c>
      <c r="AJ53" s="98">
        <f t="shared" si="15"/>
        <v>0.21825596462676208</v>
      </c>
      <c r="AK53" s="190">
        <v>0</v>
      </c>
      <c r="AL53" s="189">
        <v>10799804.469964001</v>
      </c>
      <c r="AM53" s="98">
        <f t="shared" si="16"/>
        <v>0.27479549012083349</v>
      </c>
      <c r="AN53" s="189">
        <v>10475810.33586508</v>
      </c>
      <c r="AO53" s="98">
        <f t="shared" si="17"/>
        <v>0.25127415669043013</v>
      </c>
      <c r="AQ53" s="105"/>
      <c r="AR53" s="106"/>
      <c r="AS53" s="106"/>
      <c r="AT53" s="106"/>
      <c r="AU53" s="106"/>
      <c r="AV53" s="107"/>
      <c r="AW53" s="81"/>
      <c r="AX53" s="81"/>
      <c r="AY53" s="81"/>
      <c r="AZ53" s="81"/>
      <c r="BA53" s="81"/>
      <c r="BB53" s="81"/>
      <c r="BC53" s="81"/>
      <c r="BD53" s="81"/>
      <c r="BE53" s="81"/>
      <c r="BF53" s="81"/>
      <c r="BG53" s="81"/>
      <c r="BH53" s="81"/>
      <c r="BI53" s="81"/>
      <c r="DU53" s="198"/>
      <c r="DV53" s="198"/>
      <c r="DW53" s="176"/>
      <c r="DX53" s="176"/>
      <c r="DY53" s="176"/>
      <c r="DZ53" s="175"/>
    </row>
    <row r="54" spans="1:130" ht="13.5" customHeight="1">
      <c r="A54" s="259"/>
      <c r="B54" s="259">
        <v>413</v>
      </c>
      <c r="C54" s="94" t="s">
        <v>448</v>
      </c>
      <c r="D54" s="95">
        <v>112547776.84</v>
      </c>
      <c r="E54" s="98">
        <f t="shared" si="0"/>
        <v>5.2374599488110203</v>
      </c>
      <c r="F54" s="95">
        <v>137071242.36000001</v>
      </c>
      <c r="G54" s="98">
        <f t="shared" si="1"/>
        <v>5.1136445573587022</v>
      </c>
      <c r="H54" s="95">
        <v>114434326.15000001</v>
      </c>
      <c r="I54" s="98">
        <f t="shared" si="3"/>
        <v>3.7086571866087636</v>
      </c>
      <c r="J54" s="95">
        <v>109956288.45999999</v>
      </c>
      <c r="K54" s="98">
        <f t="shared" si="4"/>
        <v>3.6885705622274405</v>
      </c>
      <c r="L54" s="95">
        <v>112683384.09</v>
      </c>
      <c r="M54" s="98">
        <f t="shared" si="5"/>
        <v>3.6302636626932991</v>
      </c>
      <c r="N54" s="95">
        <v>104006154.47999999</v>
      </c>
      <c r="O54" s="98">
        <f t="shared" si="6"/>
        <v>3.2160220927643786</v>
      </c>
      <c r="P54" s="189">
        <v>150386742.56999999</v>
      </c>
      <c r="Q54" s="98">
        <f t="shared" si="7"/>
        <v>4.7756983985392187</v>
      </c>
      <c r="R54" s="189">
        <v>90442340.840000004</v>
      </c>
      <c r="S54" s="98">
        <f t="shared" si="8"/>
        <v>2.7111870910004456</v>
      </c>
      <c r="T54" s="189">
        <v>29295302.830000002</v>
      </c>
      <c r="U54" s="98">
        <f t="shared" si="9"/>
        <v>0.83316256204293437</v>
      </c>
      <c r="V54" s="190"/>
      <c r="W54" s="190"/>
      <c r="X54" s="239">
        <f t="shared" si="10"/>
        <v>0</v>
      </c>
      <c r="Y54" s="239">
        <f t="shared" si="11"/>
        <v>-61147038.010000005</v>
      </c>
      <c r="Z54" s="189">
        <v>29295302.830000002</v>
      </c>
      <c r="AA54" s="98">
        <f t="shared" si="12"/>
        <v>0.83316256204293437</v>
      </c>
      <c r="AB54" s="96"/>
      <c r="AC54" s="96"/>
      <c r="AD54" s="189">
        <v>86391320.407999992</v>
      </c>
      <c r="AE54" s="98">
        <f t="shared" si="13"/>
        <v>2.3273481001937486</v>
      </c>
      <c r="AF54" s="190">
        <v>0</v>
      </c>
      <c r="AG54" s="213">
        <f>29002349.8017</f>
        <v>29002349.8017</v>
      </c>
      <c r="AH54" s="98">
        <f t="shared" si="14"/>
        <v>0.78131186551340814</v>
      </c>
      <c r="AI54" s="189">
        <v>87255233.612079993</v>
      </c>
      <c r="AJ54" s="98">
        <f t="shared" si="15"/>
        <v>2.2201647032336753</v>
      </c>
      <c r="AK54" s="190">
        <v>0</v>
      </c>
      <c r="AL54" s="189">
        <v>27563950.432747003</v>
      </c>
      <c r="AM54" s="98">
        <f t="shared" si="16"/>
        <v>0.70135059295738533</v>
      </c>
      <c r="AN54" s="189">
        <v>26737031.919764593</v>
      </c>
      <c r="AO54" s="98">
        <f t="shared" si="17"/>
        <v>0.64131794416352117</v>
      </c>
      <c r="AQ54" s="105"/>
      <c r="AR54" s="106"/>
      <c r="AS54" s="106"/>
      <c r="AT54" s="106"/>
      <c r="AU54" s="106"/>
      <c r="AV54" s="107"/>
      <c r="AW54" s="81"/>
      <c r="AX54" s="81"/>
      <c r="AY54" s="81"/>
      <c r="AZ54" s="81"/>
      <c r="BA54" s="81"/>
      <c r="BB54" s="81"/>
      <c r="BC54" s="81"/>
      <c r="BD54" s="81"/>
      <c r="BE54" s="81"/>
      <c r="BF54" s="81"/>
      <c r="BG54" s="81"/>
      <c r="BH54" s="81"/>
      <c r="BI54" s="81"/>
      <c r="DU54" s="198"/>
      <c r="DV54" s="198"/>
      <c r="DW54" s="176"/>
      <c r="DX54" s="176"/>
      <c r="DY54" s="176"/>
      <c r="DZ54" s="175"/>
    </row>
    <row r="55" spans="1:130" ht="13.5" customHeight="1">
      <c r="A55" s="259"/>
      <c r="B55" s="259">
        <v>414</v>
      </c>
      <c r="C55" s="94" t="s">
        <v>449</v>
      </c>
      <c r="D55" s="95"/>
      <c r="E55" s="98">
        <f t="shared" si="0"/>
        <v>0</v>
      </c>
      <c r="F55" s="95"/>
      <c r="G55" s="98">
        <f t="shared" si="1"/>
        <v>0</v>
      </c>
      <c r="H55" s="95"/>
      <c r="I55" s="98">
        <f t="shared" si="3"/>
        <v>0</v>
      </c>
      <c r="J55" s="95"/>
      <c r="K55" s="98">
        <f t="shared" si="4"/>
        <v>0</v>
      </c>
      <c r="L55" s="95"/>
      <c r="M55" s="98">
        <f t="shared" si="5"/>
        <v>0</v>
      </c>
      <c r="N55" s="95"/>
      <c r="O55" s="98">
        <f t="shared" si="6"/>
        <v>0</v>
      </c>
      <c r="P55" s="189"/>
      <c r="Q55" s="98">
        <f t="shared" si="7"/>
        <v>0</v>
      </c>
      <c r="R55" s="189"/>
      <c r="S55" s="98">
        <f t="shared" si="8"/>
        <v>0</v>
      </c>
      <c r="T55" s="189">
        <v>40692845.799999997</v>
      </c>
      <c r="U55" s="98">
        <f t="shared" si="9"/>
        <v>1.1573102985242654</v>
      </c>
      <c r="V55" s="190"/>
      <c r="W55" s="190"/>
      <c r="X55" s="239">
        <f t="shared" si="10"/>
        <v>0</v>
      </c>
      <c r="Y55" s="239">
        <f t="shared" si="11"/>
        <v>40692845.799999997</v>
      </c>
      <c r="Z55" s="189">
        <v>40692845.799999997</v>
      </c>
      <c r="AA55" s="98">
        <f t="shared" si="12"/>
        <v>1.1573102985242654</v>
      </c>
      <c r="AB55" s="96"/>
      <c r="AC55" s="96"/>
      <c r="AD55" s="189"/>
      <c r="AE55" s="98">
        <f t="shared" si="13"/>
        <v>0</v>
      </c>
      <c r="AF55" s="190"/>
      <c r="AG55" s="257">
        <f>40285917.342+378408.506536722</f>
        <v>40664325.848536722</v>
      </c>
      <c r="AH55" s="98">
        <f t="shared" si="14"/>
        <v>1.0954809008855899</v>
      </c>
      <c r="AI55" s="189"/>
      <c r="AJ55" s="98">
        <f t="shared" si="15"/>
        <v>0</v>
      </c>
      <c r="AK55" s="190"/>
      <c r="AL55" s="189">
        <v>38287898.613219999</v>
      </c>
      <c r="AM55" s="98">
        <f t="shared" si="16"/>
        <v>0.97421595866648525</v>
      </c>
      <c r="AN55" s="189">
        <v>37139261.6548234</v>
      </c>
      <c r="AO55" s="98">
        <f t="shared" si="17"/>
        <v>0.89082718694050689</v>
      </c>
      <c r="AQ55" s="105"/>
      <c r="AR55" s="106"/>
      <c r="AS55" s="106"/>
      <c r="AT55" s="106"/>
      <c r="AU55" s="106"/>
      <c r="AV55" s="107"/>
      <c r="AW55" s="81"/>
      <c r="AX55" s="81"/>
      <c r="AY55" s="81"/>
      <c r="AZ55" s="81"/>
      <c r="BA55" s="81"/>
      <c r="BB55" s="81"/>
      <c r="BC55" s="81"/>
      <c r="BD55" s="81"/>
      <c r="BE55" s="81"/>
      <c r="BF55" s="81"/>
      <c r="BG55" s="81"/>
      <c r="BH55" s="81"/>
      <c r="BI55" s="81"/>
      <c r="DU55" s="198"/>
      <c r="DV55" s="198"/>
      <c r="DW55" s="176"/>
      <c r="DX55" s="176"/>
      <c r="DY55" s="176"/>
      <c r="DZ55" s="175"/>
    </row>
    <row r="56" spans="1:130" ht="13.5" customHeight="1">
      <c r="A56" s="259"/>
      <c r="B56" s="259">
        <v>415</v>
      </c>
      <c r="C56" s="94" t="s">
        <v>450</v>
      </c>
      <c r="D56" s="95">
        <v>20449366.720000003</v>
      </c>
      <c r="E56" s="98">
        <f t="shared" si="0"/>
        <v>0.95162021127088292</v>
      </c>
      <c r="F56" s="95">
        <v>22633631.750000004</v>
      </c>
      <c r="G56" s="98">
        <f t="shared" si="1"/>
        <v>0.8443809643723188</v>
      </c>
      <c r="H56" s="95">
        <v>22151878.379999999</v>
      </c>
      <c r="I56" s="98">
        <f t="shared" si="3"/>
        <v>0.71791153681617836</v>
      </c>
      <c r="J56" s="95">
        <v>5130736.91</v>
      </c>
      <c r="K56" s="98">
        <f t="shared" si="4"/>
        <v>0.17211462294532037</v>
      </c>
      <c r="L56" s="95">
        <v>28005189.850000001</v>
      </c>
      <c r="M56" s="98">
        <f t="shared" si="5"/>
        <v>0.90222905444587631</v>
      </c>
      <c r="N56" s="95">
        <v>23542025.550000001</v>
      </c>
      <c r="O56" s="98">
        <f t="shared" si="6"/>
        <v>0.72795378942486089</v>
      </c>
      <c r="P56" s="189">
        <v>22365850.899999999</v>
      </c>
      <c r="Q56" s="98">
        <f t="shared" si="7"/>
        <v>0.71025248967926324</v>
      </c>
      <c r="R56" s="189">
        <v>20416485.639999997</v>
      </c>
      <c r="S56" s="98">
        <f t="shared" si="8"/>
        <v>0.61202432175752564</v>
      </c>
      <c r="T56" s="189">
        <v>21655403.200000003</v>
      </c>
      <c r="U56" s="98">
        <f t="shared" si="9"/>
        <v>0.61588273440574504</v>
      </c>
      <c r="V56" s="190"/>
      <c r="W56" s="190"/>
      <c r="X56" s="239">
        <f t="shared" si="10"/>
        <v>0</v>
      </c>
      <c r="Y56" s="239">
        <f t="shared" si="11"/>
        <v>1238917.5600000061</v>
      </c>
      <c r="Z56" s="189">
        <v>21655403.200000003</v>
      </c>
      <c r="AA56" s="98">
        <f t="shared" si="12"/>
        <v>0.61588273440574504</v>
      </c>
      <c r="AB56" s="96"/>
      <c r="AC56" s="96"/>
      <c r="AD56" s="189">
        <v>21841680.480619997</v>
      </c>
      <c r="AE56" s="98">
        <f t="shared" si="13"/>
        <v>0.58840625807708558</v>
      </c>
      <c r="AF56" s="190">
        <v>0</v>
      </c>
      <c r="AG56" s="189">
        <v>21438849.168000001</v>
      </c>
      <c r="AH56" s="98">
        <f t="shared" si="14"/>
        <v>0.57755414138646155</v>
      </c>
      <c r="AI56" s="189">
        <v>21863522.161100615</v>
      </c>
      <c r="AJ56" s="98">
        <f t="shared" si="15"/>
        <v>0.55630611690577902</v>
      </c>
      <c r="AK56" s="190">
        <v>0</v>
      </c>
      <c r="AL56" s="189">
        <v>20375568.87088</v>
      </c>
      <c r="AM56" s="98">
        <f t="shared" si="16"/>
        <v>0.51844590797327006</v>
      </c>
      <c r="AN56" s="189">
        <v>19764301.804753602</v>
      </c>
      <c r="AO56" s="98">
        <f t="shared" si="17"/>
        <v>0.4740691277659046</v>
      </c>
      <c r="AQ56" s="105"/>
      <c r="AR56" s="106"/>
      <c r="AS56" s="106"/>
      <c r="AT56" s="106"/>
      <c r="AU56" s="106"/>
      <c r="AV56" s="107"/>
      <c r="AW56" s="81"/>
      <c r="AX56" s="81"/>
      <c r="AY56" s="81"/>
      <c r="AZ56" s="81"/>
      <c r="BA56" s="81"/>
      <c r="BB56" s="81"/>
      <c r="BC56" s="81"/>
      <c r="BD56" s="81"/>
      <c r="BE56" s="81"/>
      <c r="BF56" s="81"/>
      <c r="BG56" s="81"/>
      <c r="BH56" s="81"/>
      <c r="BI56" s="81"/>
      <c r="DU56" s="198"/>
      <c r="DV56" s="198"/>
      <c r="DW56" s="176"/>
      <c r="DX56" s="176"/>
      <c r="DY56" s="176"/>
      <c r="DZ56" s="175"/>
    </row>
    <row r="57" spans="1:130" ht="13.5" customHeight="1">
      <c r="A57" s="259"/>
      <c r="B57" s="259">
        <v>416</v>
      </c>
      <c r="C57" s="94" t="s">
        <v>80</v>
      </c>
      <c r="D57" s="95">
        <v>23398994.059999999</v>
      </c>
      <c r="E57" s="98">
        <f t="shared" si="0"/>
        <v>1.0888824077434966</v>
      </c>
      <c r="F57" s="95">
        <v>27098929.48</v>
      </c>
      <c r="G57" s="98">
        <f t="shared" si="1"/>
        <v>1.0109654721134116</v>
      </c>
      <c r="H57" s="95">
        <v>22531993.84</v>
      </c>
      <c r="I57" s="98">
        <f t="shared" si="3"/>
        <v>0.73023054964998702</v>
      </c>
      <c r="J57" s="95">
        <v>24512028.640000001</v>
      </c>
      <c r="K57" s="98">
        <f t="shared" si="4"/>
        <v>0.82227536531365319</v>
      </c>
      <c r="L57" s="95">
        <v>30256278.469999999</v>
      </c>
      <c r="M57" s="98">
        <f t="shared" si="5"/>
        <v>0.97475123936855668</v>
      </c>
      <c r="N57" s="95">
        <v>45092350.030000001</v>
      </c>
      <c r="O57" s="98">
        <f t="shared" si="6"/>
        <v>1.3943212748917748</v>
      </c>
      <c r="P57" s="189">
        <v>56859854.539999999</v>
      </c>
      <c r="Q57" s="98">
        <f t="shared" si="7"/>
        <v>1.805647968879009</v>
      </c>
      <c r="R57" s="189">
        <v>67427730.789999992</v>
      </c>
      <c r="S57" s="98">
        <f t="shared" si="8"/>
        <v>2.0212788788462022</v>
      </c>
      <c r="T57" s="189">
        <v>73316123.120000005</v>
      </c>
      <c r="U57" s="98">
        <f t="shared" si="9"/>
        <v>2.0851209264565371</v>
      </c>
      <c r="V57" s="190"/>
      <c r="W57" s="190"/>
      <c r="X57" s="239">
        <f t="shared" si="10"/>
        <v>0</v>
      </c>
      <c r="Y57" s="239">
        <f t="shared" si="11"/>
        <v>5888392.3300000131</v>
      </c>
      <c r="Z57" s="189">
        <v>73316123.120000005</v>
      </c>
      <c r="AA57" s="98">
        <f t="shared" si="12"/>
        <v>2.0851209264565371</v>
      </c>
      <c r="AB57" s="96"/>
      <c r="AC57" s="96"/>
      <c r="AD57" s="189">
        <v>65209197.090000004</v>
      </c>
      <c r="AE57" s="98">
        <f t="shared" si="13"/>
        <v>1.7567100519569969</v>
      </c>
      <c r="AF57" s="190">
        <v>0</v>
      </c>
      <c r="AG57" s="205">
        <v>73250000</v>
      </c>
      <c r="AH57" s="98">
        <f t="shared" si="14"/>
        <v>1.9733261111657403</v>
      </c>
      <c r="AI57" s="189">
        <v>77400000</v>
      </c>
      <c r="AJ57" s="98">
        <f t="shared" si="15"/>
        <v>1.9694033345238342</v>
      </c>
      <c r="AK57" s="190">
        <v>0</v>
      </c>
      <c r="AL57" s="205">
        <v>71785000</v>
      </c>
      <c r="AM57" s="98">
        <f t="shared" si="16"/>
        <v>1.8265325370645145</v>
      </c>
      <c r="AN57" s="205">
        <v>70349300</v>
      </c>
      <c r="AO57" s="98">
        <f t="shared" si="17"/>
        <v>1.6874075097315449</v>
      </c>
      <c r="AQ57" s="105"/>
      <c r="AR57" s="106"/>
      <c r="AS57" s="106"/>
      <c r="AT57" s="106"/>
      <c r="AU57" s="106"/>
      <c r="AV57" s="107"/>
      <c r="AW57" s="81"/>
      <c r="AX57" s="81"/>
      <c r="AY57" s="81"/>
      <c r="AZ57" s="81"/>
      <c r="BA57" s="81"/>
      <c r="BB57" s="81"/>
      <c r="BC57" s="81"/>
      <c r="BD57" s="81"/>
      <c r="BE57" s="81"/>
      <c r="BF57" s="81"/>
      <c r="BG57" s="81"/>
      <c r="BH57" s="81"/>
      <c r="BI57" s="81"/>
      <c r="DU57" s="198"/>
      <c r="DV57" s="198"/>
      <c r="DW57" s="176"/>
      <c r="DX57" s="176"/>
      <c r="DY57" s="176"/>
      <c r="DZ57" s="175"/>
    </row>
    <row r="58" spans="1:130" ht="13.5" customHeight="1">
      <c r="A58" s="259"/>
      <c r="B58" s="259">
        <v>417</v>
      </c>
      <c r="C58" s="94" t="s">
        <v>82</v>
      </c>
      <c r="D58" s="95">
        <v>2663918.17</v>
      </c>
      <c r="E58" s="98">
        <f t="shared" si="0"/>
        <v>0.12396659546744847</v>
      </c>
      <c r="F58" s="95">
        <v>4927168.12</v>
      </c>
      <c r="G58" s="98">
        <f t="shared" si="1"/>
        <v>0.18381526282409999</v>
      </c>
      <c r="H58" s="95">
        <v>8361199.96</v>
      </c>
      <c r="I58" s="98">
        <f t="shared" si="3"/>
        <v>0.27097484962406015</v>
      </c>
      <c r="J58" s="95">
        <v>8038103.2300000004</v>
      </c>
      <c r="K58" s="98">
        <f t="shared" si="4"/>
        <v>0.26964452297886615</v>
      </c>
      <c r="L58" s="95">
        <v>8015830.71</v>
      </c>
      <c r="M58" s="98">
        <f t="shared" si="5"/>
        <v>0.25824196874999999</v>
      </c>
      <c r="N58" s="95">
        <v>7376287.9199999999</v>
      </c>
      <c r="O58" s="98">
        <f t="shared" si="6"/>
        <v>0.22808558812615953</v>
      </c>
      <c r="P58" s="189">
        <v>7110247.5800000001</v>
      </c>
      <c r="Q58" s="98">
        <f t="shared" si="7"/>
        <v>0.22579382597650047</v>
      </c>
      <c r="R58" s="189">
        <v>7928041.8100000005</v>
      </c>
      <c r="S58" s="98">
        <f t="shared" si="8"/>
        <v>0.23765864983757101</v>
      </c>
      <c r="T58" s="189">
        <v>8172802.1399999997</v>
      </c>
      <c r="U58" s="98">
        <f t="shared" si="9"/>
        <v>0.23243565050501225</v>
      </c>
      <c r="V58" s="190"/>
      <c r="W58" s="190"/>
      <c r="X58" s="239">
        <f t="shared" si="10"/>
        <v>0</v>
      </c>
      <c r="Y58" s="239">
        <f t="shared" si="11"/>
        <v>244760.32999999914</v>
      </c>
      <c r="Z58" s="189">
        <v>8172802.1399999997</v>
      </c>
      <c r="AA58" s="98">
        <f t="shared" si="12"/>
        <v>0.23243565050501225</v>
      </c>
      <c r="AB58" s="96"/>
      <c r="AC58" s="96"/>
      <c r="AD58" s="189">
        <v>8134697.9313599998</v>
      </c>
      <c r="AE58" s="98">
        <f t="shared" si="13"/>
        <v>0.2191455540532235</v>
      </c>
      <c r="AF58" s="190">
        <v>0</v>
      </c>
      <c r="AG58" s="189">
        <v>8091074.1185999997</v>
      </c>
      <c r="AH58" s="98">
        <f t="shared" si="14"/>
        <v>0.2179703457421257</v>
      </c>
      <c r="AI58" s="189">
        <v>8142832.6292913593</v>
      </c>
      <c r="AJ58" s="98">
        <f t="shared" si="15"/>
        <v>0.20719020326351267</v>
      </c>
      <c r="AK58" s="190">
        <v>0</v>
      </c>
      <c r="AL58" s="189">
        <v>7689789.5335259996</v>
      </c>
      <c r="AM58" s="98">
        <f t="shared" si="16"/>
        <v>0.19566275386450363</v>
      </c>
      <c r="AN58" s="189">
        <v>7459095.8475202192</v>
      </c>
      <c r="AO58" s="98">
        <f t="shared" si="17"/>
        <v>0.17891484846207423</v>
      </c>
      <c r="AQ58" s="105"/>
      <c r="AR58" s="106"/>
      <c r="AS58" s="106"/>
      <c r="AT58" s="106"/>
      <c r="AU58" s="106"/>
      <c r="AV58" s="107"/>
      <c r="AW58" s="81"/>
      <c r="AX58" s="81"/>
      <c r="AY58" s="81"/>
      <c r="AZ58" s="81"/>
      <c r="BA58" s="81"/>
      <c r="BB58" s="81"/>
      <c r="BC58" s="81"/>
      <c r="BD58" s="81"/>
      <c r="BE58" s="81"/>
      <c r="BF58" s="81"/>
      <c r="BG58" s="81"/>
      <c r="BH58" s="81"/>
      <c r="BI58" s="81"/>
      <c r="DU58" s="198"/>
      <c r="DV58" s="198"/>
      <c r="DW58" s="176"/>
      <c r="DX58" s="176"/>
      <c r="DY58" s="176"/>
      <c r="DZ58" s="175"/>
    </row>
    <row r="59" spans="1:130" ht="13.5" customHeight="1">
      <c r="A59" s="259"/>
      <c r="B59" s="259">
        <v>418</v>
      </c>
      <c r="C59" s="94" t="s">
        <v>84</v>
      </c>
      <c r="D59" s="95">
        <v>6072666.8299999991</v>
      </c>
      <c r="E59" s="98">
        <f t="shared" si="0"/>
        <v>0.28259420308064587</v>
      </c>
      <c r="F59" s="95">
        <v>13072586.5</v>
      </c>
      <c r="G59" s="98">
        <f t="shared" si="1"/>
        <v>0.48769209102779337</v>
      </c>
      <c r="H59" s="95">
        <v>18592791.149999999</v>
      </c>
      <c r="I59" s="98">
        <f t="shared" si="3"/>
        <v>0.60256647491573756</v>
      </c>
      <c r="J59" s="95">
        <v>49824327.469999999</v>
      </c>
      <c r="K59" s="98">
        <f t="shared" si="4"/>
        <v>1.6713964263669909</v>
      </c>
      <c r="L59" s="95">
        <v>39035362.68</v>
      </c>
      <c r="M59" s="98">
        <f t="shared" si="5"/>
        <v>1.2575825605670103</v>
      </c>
      <c r="N59" s="95">
        <v>45400496.520000003</v>
      </c>
      <c r="O59" s="98">
        <f t="shared" si="6"/>
        <v>1.4038496141001857</v>
      </c>
      <c r="P59" s="189">
        <v>25853418.300000001</v>
      </c>
      <c r="Q59" s="98">
        <f t="shared" si="7"/>
        <v>0.82100407430930455</v>
      </c>
      <c r="R59" s="189">
        <v>17426749.959999997</v>
      </c>
      <c r="S59" s="98">
        <f t="shared" si="8"/>
        <v>0.52240111313824467</v>
      </c>
      <c r="T59" s="189">
        <v>18874600</v>
      </c>
      <c r="U59" s="98">
        <f t="shared" si="9"/>
        <v>0.53679629750854385</v>
      </c>
      <c r="V59" s="190"/>
      <c r="W59" s="190"/>
      <c r="X59" s="239">
        <f t="shared" si="10"/>
        <v>0</v>
      </c>
      <c r="Y59" s="239">
        <f t="shared" si="11"/>
        <v>1447850.0400000028</v>
      </c>
      <c r="Z59" s="189">
        <v>18874600</v>
      </c>
      <c r="AA59" s="98">
        <f t="shared" si="12"/>
        <v>0.53679629750854385</v>
      </c>
      <c r="AB59" s="96"/>
      <c r="AC59" s="96"/>
      <c r="AD59" s="189">
        <v>11960120</v>
      </c>
      <c r="AE59" s="98">
        <f t="shared" si="13"/>
        <v>0.32220091588635624</v>
      </c>
      <c r="AF59" s="190">
        <v>0</v>
      </c>
      <c r="AG59" s="189">
        <v>18685854</v>
      </c>
      <c r="AH59" s="98">
        <f t="shared" si="14"/>
        <v>0.50338953730553992</v>
      </c>
      <c r="AI59" s="189">
        <v>11362114</v>
      </c>
      <c r="AJ59" s="98">
        <f t="shared" si="15"/>
        <v>0.28910316794366847</v>
      </c>
      <c r="AK59" s="190">
        <v>0</v>
      </c>
      <c r="AL59" s="189">
        <v>17759111.140000001</v>
      </c>
      <c r="AM59" s="98">
        <f t="shared" si="16"/>
        <v>0.45187148187720122</v>
      </c>
      <c r="AN59" s="189">
        <v>17226337.805799998</v>
      </c>
      <c r="AO59" s="98">
        <f t="shared" si="17"/>
        <v>0.41319319138469524</v>
      </c>
      <c r="AQ59" s="105"/>
      <c r="AR59" s="106"/>
      <c r="AS59" s="106"/>
      <c r="AT59" s="106"/>
      <c r="AU59" s="106"/>
      <c r="AV59" s="107"/>
      <c r="AW59" s="81"/>
      <c r="AX59" s="81"/>
      <c r="AY59" s="81"/>
      <c r="AZ59" s="81"/>
      <c r="BA59" s="81"/>
      <c r="BB59" s="81"/>
      <c r="BC59" s="81"/>
      <c r="BD59" s="81"/>
      <c r="BE59" s="81"/>
      <c r="BF59" s="81"/>
      <c r="BG59" s="81"/>
      <c r="BH59" s="81"/>
      <c r="BI59" s="81"/>
      <c r="DU59" s="198"/>
      <c r="DV59" s="198"/>
      <c r="DW59" s="176"/>
      <c r="DX59" s="176"/>
      <c r="DY59" s="176"/>
      <c r="DZ59" s="175"/>
    </row>
    <row r="60" spans="1:130" ht="13.5" customHeight="1">
      <c r="A60" s="259"/>
      <c r="B60" s="259">
        <v>419</v>
      </c>
      <c r="C60" s="94" t="s">
        <v>86</v>
      </c>
      <c r="D60" s="95">
        <v>3904147.64</v>
      </c>
      <c r="E60" s="98">
        <f t="shared" si="0"/>
        <v>0.18168121550560754</v>
      </c>
      <c r="F60" s="95">
        <v>5748223.0299999993</v>
      </c>
      <c r="G60" s="98">
        <f t="shared" si="1"/>
        <v>0.21444592538705462</v>
      </c>
      <c r="H60" s="95">
        <v>5738203.1799999997</v>
      </c>
      <c r="I60" s="98">
        <f t="shared" si="3"/>
        <v>0.18596717591392273</v>
      </c>
      <c r="J60" s="95">
        <v>7631912.3799999999</v>
      </c>
      <c r="K60" s="98">
        <f t="shared" si="4"/>
        <v>0.25601853002348207</v>
      </c>
      <c r="L60" s="95">
        <v>5231302.66</v>
      </c>
      <c r="M60" s="98">
        <f t="shared" si="5"/>
        <v>0.16853423518041238</v>
      </c>
      <c r="N60" s="95">
        <v>5518538.25</v>
      </c>
      <c r="O60" s="98">
        <f t="shared" si="6"/>
        <v>0.17064125695732837</v>
      </c>
      <c r="P60" s="189">
        <v>6046195.5600000005</v>
      </c>
      <c r="Q60" s="98">
        <f t="shared" si="7"/>
        <v>0.19200366973642427</v>
      </c>
      <c r="R60" s="189">
        <v>6279093.0100000007</v>
      </c>
      <c r="S60" s="98">
        <f t="shared" si="8"/>
        <v>0.18822816563339112</v>
      </c>
      <c r="T60" s="189">
        <v>25049575.370000001</v>
      </c>
      <c r="U60" s="98">
        <f t="shared" si="9"/>
        <v>0.71241347169090818</v>
      </c>
      <c r="V60" s="190"/>
      <c r="W60" s="190"/>
      <c r="X60" s="239">
        <f t="shared" si="10"/>
        <v>0</v>
      </c>
      <c r="Y60" s="239">
        <f t="shared" si="11"/>
        <v>18770482.359999999</v>
      </c>
      <c r="Z60" s="189">
        <v>25049575.370000001</v>
      </c>
      <c r="AA60" s="98">
        <f t="shared" si="12"/>
        <v>0.71241347169090818</v>
      </c>
      <c r="AB60" s="96"/>
      <c r="AC60" s="96"/>
      <c r="AD60" s="189">
        <v>5413380.4779999992</v>
      </c>
      <c r="AE60" s="98">
        <f t="shared" si="13"/>
        <v>0.14583433511143037</v>
      </c>
      <c r="AF60" s="190">
        <v>0</v>
      </c>
      <c r="AG60" s="189">
        <v>24799079.616300002</v>
      </c>
      <c r="AH60" s="98">
        <f t="shared" si="14"/>
        <v>0.66807742443307661</v>
      </c>
      <c r="AI60" s="189">
        <v>5142711.4540999988</v>
      </c>
      <c r="AJ60" s="98">
        <f t="shared" si="15"/>
        <v>0.13085365744442445</v>
      </c>
      <c r="AK60" s="190">
        <v>0</v>
      </c>
      <c r="AL60" s="189">
        <v>23569145.465632997</v>
      </c>
      <c r="AM60" s="98">
        <f t="shared" si="16"/>
        <v>0.59970482780226009</v>
      </c>
      <c r="AN60" s="189">
        <v>22862071.101664007</v>
      </c>
      <c r="AO60" s="98">
        <f t="shared" si="17"/>
        <v>0.54837262723245828</v>
      </c>
      <c r="AQ60" s="105"/>
      <c r="AR60" s="106"/>
      <c r="AS60" s="106"/>
      <c r="AT60" s="106"/>
      <c r="AU60" s="106"/>
      <c r="AV60" s="107"/>
      <c r="AW60" s="81"/>
      <c r="AX60" s="81"/>
      <c r="AY60" s="81"/>
      <c r="AZ60" s="81"/>
      <c r="BA60" s="81"/>
      <c r="BB60" s="81"/>
      <c r="BC60" s="81"/>
      <c r="BD60" s="81"/>
      <c r="BE60" s="81"/>
      <c r="BF60" s="81"/>
      <c r="BG60" s="81"/>
      <c r="BH60" s="81"/>
      <c r="BI60" s="81"/>
      <c r="DU60" s="198"/>
      <c r="DV60" s="198"/>
      <c r="DW60" s="176"/>
      <c r="DX60" s="176"/>
      <c r="DY60" s="176"/>
      <c r="DZ60" s="175"/>
    </row>
    <row r="61" spans="1:130" ht="13.5" customHeight="1">
      <c r="A61" s="259"/>
      <c r="B61" s="259">
        <v>441</v>
      </c>
      <c r="C61" s="94" t="s">
        <v>130</v>
      </c>
      <c r="D61" s="189">
        <v>40141835.139999993</v>
      </c>
      <c r="E61" s="195">
        <f t="shared" si="0"/>
        <v>1.8680178295872305</v>
      </c>
      <c r="F61" s="189"/>
      <c r="G61" s="195">
        <f t="shared" si="1"/>
        <v>0</v>
      </c>
      <c r="H61" s="189">
        <v>75166022.909999996</v>
      </c>
      <c r="I61" s="195">
        <f t="shared" ref="I61:I87" si="18">H61/H$11*100</f>
        <v>2.4360261508296603</v>
      </c>
      <c r="J61" s="189">
        <v>26511453.920000002</v>
      </c>
      <c r="K61" s="195">
        <f t="shared" ref="K61:K87" si="19">J61/J$11*100</f>
        <v>0.88934766588393155</v>
      </c>
      <c r="L61" s="189">
        <v>19371879.949999999</v>
      </c>
      <c r="M61" s="195">
        <f t="shared" ref="M61:M87" si="20">L61/L$11*100</f>
        <v>0.62409407055412369</v>
      </c>
      <c r="N61" s="189">
        <v>17010992.290000129</v>
      </c>
      <c r="O61" s="195">
        <f t="shared" ref="O61:O87" si="21">N61/N$11*100</f>
        <v>0.52600470902907015</v>
      </c>
      <c r="P61" s="189">
        <v>13391039.780000195</v>
      </c>
      <c r="Q61" s="195">
        <f t="shared" ref="Q61:Q87" si="22">P61/P$11*100</f>
        <v>0.42524737313433458</v>
      </c>
      <c r="R61" s="189">
        <v>12216538.75</v>
      </c>
      <c r="S61" s="195">
        <f t="shared" ref="S61:S87" si="23">R61/R$11*100</f>
        <v>0.36621478223679643</v>
      </c>
      <c r="T61" s="189">
        <v>10502963.32</v>
      </c>
      <c r="U61" s="195">
        <f t="shared" si="9"/>
        <v>0.2987057645218465</v>
      </c>
      <c r="V61" s="190"/>
      <c r="W61" s="190"/>
      <c r="X61" s="239">
        <f t="shared" si="10"/>
        <v>0</v>
      </c>
      <c r="Y61" s="239">
        <f t="shared" si="11"/>
        <v>-1713575.4299999997</v>
      </c>
      <c r="Z61" s="189">
        <v>10502963.32</v>
      </c>
      <c r="AA61" s="195">
        <f t="shared" si="12"/>
        <v>0.2987057645218465</v>
      </c>
      <c r="AB61" s="190"/>
      <c r="AC61" s="190"/>
      <c r="AD61" s="189"/>
      <c r="AE61" s="195">
        <f t="shared" si="13"/>
        <v>0</v>
      </c>
      <c r="AF61" s="190"/>
      <c r="AG61" s="189">
        <v>10397933.686799999</v>
      </c>
      <c r="AH61" s="98">
        <f>AG61/AG$11*100</f>
        <v>0.28011623271443403</v>
      </c>
      <c r="AI61" s="189"/>
      <c r="AJ61" s="98"/>
      <c r="AK61" s="190"/>
      <c r="AL61" s="189">
        <v>9882238.1877879985</v>
      </c>
      <c r="AM61" s="98">
        <f t="shared" si="16"/>
        <v>0.25144848629959249</v>
      </c>
      <c r="AN61" s="189">
        <v>9585771.0421543587</v>
      </c>
      <c r="AO61" s="98">
        <f t="shared" si="17"/>
        <v>0.22992555779657284</v>
      </c>
      <c r="AQ61" s="105"/>
      <c r="AR61" s="106"/>
      <c r="AS61" s="106"/>
      <c r="AT61" s="106"/>
      <c r="AU61" s="106"/>
      <c r="AV61" s="107"/>
      <c r="AW61" s="81"/>
      <c r="AX61" s="81"/>
      <c r="AY61" s="81"/>
      <c r="AZ61" s="81"/>
      <c r="BA61" s="81"/>
      <c r="BB61" s="81"/>
      <c r="BC61" s="81"/>
      <c r="BD61" s="81"/>
      <c r="BE61" s="81"/>
      <c r="BF61" s="81"/>
      <c r="BG61" s="81"/>
      <c r="BH61" s="81"/>
      <c r="BI61" s="81"/>
      <c r="DU61" s="198"/>
      <c r="DV61" s="198"/>
      <c r="DW61" s="176"/>
      <c r="DX61" s="176"/>
      <c r="DY61" s="176"/>
      <c r="DZ61" s="175"/>
    </row>
    <row r="62" spans="1:130" ht="13.5" customHeight="1">
      <c r="A62" s="259">
        <v>42</v>
      </c>
      <c r="B62" s="259" t="s">
        <v>447</v>
      </c>
      <c r="C62" s="94" t="s">
        <v>87</v>
      </c>
      <c r="D62" s="95">
        <f>+SUM(D63:D67)</f>
        <v>259768574.91000003</v>
      </c>
      <c r="E62" s="98">
        <f t="shared" si="0"/>
        <v>12.088444083484575</v>
      </c>
      <c r="F62" s="95">
        <f>+SUM(F63:F67)</f>
        <v>298508977.88999999</v>
      </c>
      <c r="G62" s="98">
        <f t="shared" si="1"/>
        <v>11.136317026301063</v>
      </c>
      <c r="H62" s="95">
        <f>+SUM(H63:H67)</f>
        <v>346538078.38999999</v>
      </c>
      <c r="I62" s="98">
        <f t="shared" si="18"/>
        <v>11.230816644736842</v>
      </c>
      <c r="J62" s="95">
        <f>+SUM(J63:J67)</f>
        <v>412466515.33000004</v>
      </c>
      <c r="K62" s="98">
        <f t="shared" si="19"/>
        <v>13.836515106675614</v>
      </c>
      <c r="L62" s="95">
        <f>+SUM(L63:L67)</f>
        <v>423148492.50000012</v>
      </c>
      <c r="M62" s="98">
        <f t="shared" si="20"/>
        <v>13.632361227448458</v>
      </c>
      <c r="N62" s="95">
        <f>+SUM(N63:N67)</f>
        <v>454762150.30000001</v>
      </c>
      <c r="O62" s="98">
        <f t="shared" si="21"/>
        <v>14.061909409400124</v>
      </c>
      <c r="P62" s="95">
        <f>+SUM(P63:P67)</f>
        <v>481633606.48000002</v>
      </c>
      <c r="Q62" s="98">
        <f t="shared" si="22"/>
        <v>15.294811256906954</v>
      </c>
      <c r="R62" s="95">
        <f>+SUM(R63:R67)</f>
        <v>482967769.27999985</v>
      </c>
      <c r="S62" s="98">
        <f t="shared" si="23"/>
        <v>14.47790901119734</v>
      </c>
      <c r="T62" s="95">
        <f>+SUM(T63:T67)</f>
        <v>498223398.96999997</v>
      </c>
      <c r="U62" s="98">
        <f t="shared" si="9"/>
        <v>14.169544037977921</v>
      </c>
      <c r="V62" s="190"/>
      <c r="W62" s="190"/>
      <c r="X62" s="239">
        <f t="shared" si="10"/>
        <v>0</v>
      </c>
      <c r="Y62" s="239">
        <f t="shared" si="11"/>
        <v>15255629.690000117</v>
      </c>
      <c r="Z62" s="95">
        <f>+SUM(Z63:Z67)</f>
        <v>498223398.96999997</v>
      </c>
      <c r="AA62" s="98">
        <f t="shared" si="12"/>
        <v>14.169544037977921</v>
      </c>
      <c r="AB62" s="96"/>
      <c r="AC62" s="96"/>
      <c r="AD62" s="95">
        <f>+SUM(AD63:AD67)</f>
        <v>496273118.75</v>
      </c>
      <c r="AE62" s="98">
        <f t="shared" si="13"/>
        <v>13.369402095549916</v>
      </c>
      <c r="AF62" s="190">
        <v>0</v>
      </c>
      <c r="AG62" s="95">
        <f>+SUM(AG63:AG67)</f>
        <v>515138153.43999994</v>
      </c>
      <c r="AH62" s="98">
        <f t="shared" ref="AH62:AH70" si="24">AG62/AG$11*100</f>
        <v>13.877618689977551</v>
      </c>
      <c r="AI62" s="95">
        <f>+SUM(AI63:AI67)</f>
        <v>501393977.92443997</v>
      </c>
      <c r="AJ62" s="98">
        <f t="shared" ref="AJ62:AJ70" si="25">AI62/AI$11*100</f>
        <v>12.757712816984002</v>
      </c>
      <c r="AK62" s="190">
        <v>0</v>
      </c>
      <c r="AL62" s="95">
        <f>+SUM(AL63:AL67)</f>
        <v>522802719.36234999</v>
      </c>
      <c r="AM62" s="98">
        <f t="shared" si="16"/>
        <v>13.302447271451426</v>
      </c>
      <c r="AN62" s="95">
        <f>+SUM(AN63:AN67)</f>
        <v>530488318.81841171</v>
      </c>
      <c r="AO62" s="98">
        <f t="shared" si="17"/>
        <v>12.724362189802171</v>
      </c>
      <c r="AQ62" s="105"/>
      <c r="AR62" s="106"/>
      <c r="AS62" s="106"/>
      <c r="AT62" s="106"/>
      <c r="AU62" s="106"/>
      <c r="AV62" s="107"/>
      <c r="AW62" s="81"/>
      <c r="AX62" s="81"/>
      <c r="AY62" s="81"/>
      <c r="AZ62" s="81"/>
      <c r="BA62" s="81"/>
      <c r="BB62" s="81"/>
      <c r="BC62" s="81"/>
      <c r="BD62" s="81"/>
      <c r="BE62" s="81"/>
      <c r="BF62" s="81"/>
      <c r="BG62" s="81"/>
      <c r="BH62" s="81"/>
      <c r="BI62" s="81"/>
      <c r="DU62" s="198"/>
      <c r="DV62" s="198"/>
      <c r="DW62" s="176"/>
      <c r="DX62" s="176"/>
      <c r="DY62" s="176"/>
      <c r="DZ62" s="175"/>
    </row>
    <row r="63" spans="1:130" ht="13.5" customHeight="1">
      <c r="A63" s="259"/>
      <c r="B63" s="259">
        <v>421</v>
      </c>
      <c r="C63" s="99" t="s">
        <v>89</v>
      </c>
      <c r="D63" s="100">
        <v>34076058.170000002</v>
      </c>
      <c r="E63" s="101">
        <f t="shared" ref="E63:G87" si="26">D63/D$11*100</f>
        <v>1.5857442491507283</v>
      </c>
      <c r="F63" s="100">
        <v>39187983.710000001</v>
      </c>
      <c r="G63" s="101">
        <f t="shared" si="26"/>
        <v>1.4619654433874278</v>
      </c>
      <c r="H63" s="100">
        <v>42104253.460000001</v>
      </c>
      <c r="I63" s="101">
        <f t="shared" si="18"/>
        <v>1.3645402339901478</v>
      </c>
      <c r="J63" s="100">
        <v>46907483.859999999</v>
      </c>
      <c r="K63" s="101">
        <f t="shared" si="19"/>
        <v>1.5735486031533044</v>
      </c>
      <c r="L63" s="100">
        <v>51591720.359999999</v>
      </c>
      <c r="M63" s="101">
        <f t="shared" si="20"/>
        <v>1.6621043930412371</v>
      </c>
      <c r="N63" s="100">
        <v>59330834.700000003</v>
      </c>
      <c r="O63" s="101">
        <f t="shared" si="21"/>
        <v>1.8345960018552876</v>
      </c>
      <c r="P63" s="193">
        <v>65188636.469999999</v>
      </c>
      <c r="Q63" s="101">
        <f t="shared" si="22"/>
        <v>2.0701377094315654</v>
      </c>
      <c r="R63" s="193">
        <v>64036543.990000002</v>
      </c>
      <c r="S63" s="101">
        <f t="shared" si="23"/>
        <v>1.919621383142986</v>
      </c>
      <c r="T63" s="193">
        <v>58645000</v>
      </c>
      <c r="U63" s="101">
        <f t="shared" si="9"/>
        <v>1.6678721068202007</v>
      </c>
      <c r="V63" s="194"/>
      <c r="W63" s="194"/>
      <c r="X63" s="240">
        <f t="shared" si="10"/>
        <v>0</v>
      </c>
      <c r="Y63" s="240">
        <f t="shared" si="11"/>
        <v>-5391543.9900000021</v>
      </c>
      <c r="Z63" s="193">
        <v>58645000</v>
      </c>
      <c r="AA63" s="101">
        <f t="shared" si="12"/>
        <v>1.6678721068202007</v>
      </c>
      <c r="AB63" s="192"/>
      <c r="AC63" s="192"/>
      <c r="AD63" s="193">
        <v>59532301.020000003</v>
      </c>
      <c r="AE63" s="101">
        <f t="shared" si="13"/>
        <v>1.6037767107241616</v>
      </c>
      <c r="AF63" s="194">
        <v>0</v>
      </c>
      <c r="AG63" s="193">
        <v>62688636.469999999</v>
      </c>
      <c r="AH63" s="101">
        <f t="shared" si="24"/>
        <v>1.6888071429300737</v>
      </c>
      <c r="AI63" s="193">
        <v>59651365.622040004</v>
      </c>
      <c r="AJ63" s="101">
        <f t="shared" si="25"/>
        <v>1.5177984284876742</v>
      </c>
      <c r="AK63" s="194">
        <v>0</v>
      </c>
      <c r="AL63" s="193">
        <v>63002079.652349994</v>
      </c>
      <c r="AM63" s="101">
        <f t="shared" si="16"/>
        <v>1.6030556298355849</v>
      </c>
      <c r="AN63" s="193">
        <v>63317090.050611734</v>
      </c>
      <c r="AO63" s="101">
        <f t="shared" si="17"/>
        <v>1.5187320022480779</v>
      </c>
      <c r="AQ63" s="105"/>
      <c r="AR63" s="106"/>
      <c r="AS63" s="106"/>
      <c r="AT63" s="106"/>
      <c r="AU63" s="106"/>
      <c r="AV63" s="107"/>
      <c r="AW63" s="81"/>
      <c r="AX63" s="81"/>
      <c r="AY63" s="81"/>
      <c r="AZ63" s="81"/>
      <c r="BA63" s="81"/>
      <c r="BB63" s="81"/>
      <c r="BC63" s="81"/>
      <c r="BD63" s="81"/>
      <c r="BE63" s="81"/>
      <c r="BF63" s="81"/>
      <c r="BG63" s="81"/>
      <c r="BH63" s="81"/>
      <c r="BI63" s="81"/>
      <c r="DU63" s="198"/>
      <c r="DV63" s="198"/>
      <c r="DW63" s="176"/>
      <c r="DX63" s="176"/>
      <c r="DY63" s="176"/>
      <c r="DZ63" s="175"/>
    </row>
    <row r="64" spans="1:130" ht="13.5" customHeight="1">
      <c r="A64" s="259"/>
      <c r="B64" s="259">
        <v>422</v>
      </c>
      <c r="C64" s="99" t="s">
        <v>91</v>
      </c>
      <c r="D64" s="100">
        <v>9796008.3399999999</v>
      </c>
      <c r="E64" s="101">
        <f t="shared" si="26"/>
        <v>0.45586152636232491</v>
      </c>
      <c r="F64" s="100">
        <v>11417546.32</v>
      </c>
      <c r="G64" s="101">
        <f t="shared" si="26"/>
        <v>0.42594837977989186</v>
      </c>
      <c r="H64" s="100">
        <v>30206318.57</v>
      </c>
      <c r="I64" s="101">
        <f t="shared" si="18"/>
        <v>0.97894472938812538</v>
      </c>
      <c r="J64" s="100">
        <v>19907692.059999999</v>
      </c>
      <c r="K64" s="101">
        <f t="shared" si="19"/>
        <v>0.66781925729620928</v>
      </c>
      <c r="L64" s="100">
        <v>20073795.120000001</v>
      </c>
      <c r="M64" s="101">
        <f t="shared" si="20"/>
        <v>0.64670731701030937</v>
      </c>
      <c r="N64" s="100">
        <v>17323007.039999999</v>
      </c>
      <c r="O64" s="101">
        <f t="shared" si="21"/>
        <v>0.5356526604823747</v>
      </c>
      <c r="P64" s="193">
        <v>16130418.140000001</v>
      </c>
      <c r="Q64" s="101">
        <f t="shared" si="22"/>
        <v>0.51223938202604002</v>
      </c>
      <c r="R64" s="193">
        <v>13086355.520000001</v>
      </c>
      <c r="S64" s="101">
        <f t="shared" si="23"/>
        <v>0.39228925108022916</v>
      </c>
      <c r="T64" s="193">
        <v>20758124</v>
      </c>
      <c r="U64" s="101">
        <f t="shared" si="9"/>
        <v>0.59036398686188019</v>
      </c>
      <c r="V64" s="194"/>
      <c r="W64" s="194"/>
      <c r="X64" s="240">
        <f t="shared" si="10"/>
        <v>0</v>
      </c>
      <c r="Y64" s="240">
        <f t="shared" si="11"/>
        <v>7671768.4799999986</v>
      </c>
      <c r="Z64" s="193">
        <v>20758124</v>
      </c>
      <c r="AA64" s="101">
        <f t="shared" si="12"/>
        <v>0.59036398686188019</v>
      </c>
      <c r="AB64" s="192"/>
      <c r="AC64" s="192"/>
      <c r="AD64" s="193">
        <v>13620542.76</v>
      </c>
      <c r="AE64" s="101">
        <f t="shared" si="13"/>
        <v>0.366932050191911</v>
      </c>
      <c r="AF64" s="194">
        <v>0</v>
      </c>
      <c r="AG64" s="193">
        <v>21629242</v>
      </c>
      <c r="AH64" s="101">
        <f t="shared" si="24"/>
        <v>0.58268324919211878</v>
      </c>
      <c r="AI64" s="193">
        <v>13484337.3324</v>
      </c>
      <c r="AJ64" s="101">
        <f t="shared" si="25"/>
        <v>0.34310205305261993</v>
      </c>
      <c r="AK64" s="194">
        <v>0</v>
      </c>
      <c r="AL64" s="193">
        <v>20980364.739999998</v>
      </c>
      <c r="AM64" s="101">
        <f t="shared" si="16"/>
        <v>0.53383462892095956</v>
      </c>
      <c r="AN64" s="193">
        <v>20350953.797799997</v>
      </c>
      <c r="AO64" s="101">
        <f t="shared" si="17"/>
        <v>0.48814063919054512</v>
      </c>
      <c r="AQ64" s="105"/>
      <c r="AR64" s="106"/>
      <c r="AS64" s="106"/>
      <c r="AT64" s="106"/>
      <c r="AU64" s="106"/>
      <c r="AV64" s="107"/>
      <c r="AW64" s="81"/>
      <c r="AX64" s="81"/>
      <c r="AY64" s="81"/>
      <c r="AZ64" s="81"/>
      <c r="BA64" s="81"/>
      <c r="BB64" s="81"/>
      <c r="BC64" s="81"/>
      <c r="BD64" s="81"/>
      <c r="BE64" s="81"/>
      <c r="BF64" s="81"/>
      <c r="BG64" s="81"/>
      <c r="BH64" s="81"/>
      <c r="BI64" s="81"/>
      <c r="DU64" s="198"/>
      <c r="DV64" s="198"/>
      <c r="DW64" s="176"/>
      <c r="DX64" s="176"/>
      <c r="DY64" s="176"/>
      <c r="DZ64" s="175"/>
    </row>
    <row r="65" spans="1:130" ht="13.5" customHeight="1">
      <c r="A65" s="259"/>
      <c r="B65" s="259">
        <v>423</v>
      </c>
      <c r="C65" s="99" t="s">
        <v>93</v>
      </c>
      <c r="D65" s="100">
        <v>199416686.40000001</v>
      </c>
      <c r="E65" s="101">
        <f t="shared" si="26"/>
        <v>9.2799425938852451</v>
      </c>
      <c r="F65" s="100">
        <v>228365332.86000001</v>
      </c>
      <c r="G65" s="101">
        <f t="shared" si="26"/>
        <v>8.5195050498041418</v>
      </c>
      <c r="H65" s="100">
        <v>250935783.35999998</v>
      </c>
      <c r="I65" s="101">
        <f t="shared" si="18"/>
        <v>8.1324793673839775</v>
      </c>
      <c r="J65" s="100">
        <v>323500545.41000003</v>
      </c>
      <c r="K65" s="101">
        <f t="shared" si="19"/>
        <v>10.852081362294532</v>
      </c>
      <c r="L65" s="100">
        <v>330972340.54000008</v>
      </c>
      <c r="M65" s="101">
        <f t="shared" si="20"/>
        <v>10.66276870296392</v>
      </c>
      <c r="N65" s="100">
        <v>356875323.42000002</v>
      </c>
      <c r="O65" s="101">
        <f t="shared" si="21"/>
        <v>11.035105857142858</v>
      </c>
      <c r="P65" s="193">
        <v>378962096.58999997</v>
      </c>
      <c r="Q65" s="101">
        <f t="shared" si="22"/>
        <v>12.034363181644967</v>
      </c>
      <c r="R65" s="193">
        <v>383190248.31999987</v>
      </c>
      <c r="S65" s="101">
        <f t="shared" si="23"/>
        <v>11.486881531298929</v>
      </c>
      <c r="T65" s="193">
        <v>397320274.96999997</v>
      </c>
      <c r="U65" s="101">
        <f t="shared" si="9"/>
        <v>11.299844898910312</v>
      </c>
      <c r="V65" s="194"/>
      <c r="W65" s="194"/>
      <c r="X65" s="240">
        <f t="shared" si="10"/>
        <v>0</v>
      </c>
      <c r="Y65" s="240">
        <f t="shared" si="11"/>
        <v>14130026.650000095</v>
      </c>
      <c r="Z65" s="193">
        <v>397320274.96999997</v>
      </c>
      <c r="AA65" s="101">
        <f t="shared" si="12"/>
        <v>11.299844898910312</v>
      </c>
      <c r="AB65" s="192"/>
      <c r="AC65" s="192"/>
      <c r="AD65" s="193">
        <v>402320274.96999997</v>
      </c>
      <c r="AE65" s="101">
        <f t="shared" si="13"/>
        <v>10.83834953787961</v>
      </c>
      <c r="AF65" s="194">
        <v>0</v>
      </c>
      <c r="AG65" s="193">
        <v>409320274.96999997</v>
      </c>
      <c r="AH65" s="101">
        <f t="shared" si="24"/>
        <v>11.026926777171898</v>
      </c>
      <c r="AI65" s="193">
        <v>407320274.96999997</v>
      </c>
      <c r="AJ65" s="101">
        <f t="shared" si="25"/>
        <v>10.364055655621227</v>
      </c>
      <c r="AK65" s="194">
        <v>0</v>
      </c>
      <c r="AL65" s="193">
        <v>417320274.96999997</v>
      </c>
      <c r="AM65" s="101">
        <f t="shared" si="16"/>
        <v>10.618500530882704</v>
      </c>
      <c r="AN65" s="193">
        <v>425320274.96999997</v>
      </c>
      <c r="AO65" s="101">
        <f t="shared" si="17"/>
        <v>10.201787736700487</v>
      </c>
      <c r="AQ65" s="105"/>
      <c r="AR65" s="106"/>
      <c r="AS65" s="106"/>
      <c r="AT65" s="106"/>
      <c r="AU65" s="106"/>
      <c r="AV65" s="107"/>
      <c r="AW65" s="81"/>
      <c r="AX65" s="81"/>
      <c r="AY65" s="81"/>
      <c r="AZ65" s="81"/>
      <c r="BA65" s="81"/>
      <c r="BB65" s="81"/>
      <c r="BC65" s="81"/>
      <c r="BD65" s="81"/>
      <c r="BE65" s="81"/>
      <c r="BF65" s="81"/>
      <c r="BG65" s="81"/>
      <c r="BH65" s="81"/>
      <c r="BI65" s="81"/>
      <c r="DU65" s="198"/>
      <c r="DV65" s="198"/>
      <c r="DW65" s="176"/>
      <c r="DX65" s="176"/>
      <c r="DY65" s="176"/>
      <c r="DZ65" s="175"/>
    </row>
    <row r="66" spans="1:130" ht="13.5" customHeight="1">
      <c r="A66" s="259"/>
      <c r="B66" s="259">
        <v>424</v>
      </c>
      <c r="C66" s="99" t="s">
        <v>95</v>
      </c>
      <c r="D66" s="100">
        <v>10828245</v>
      </c>
      <c r="E66" s="101">
        <f t="shared" si="26"/>
        <v>0.50389711014937877</v>
      </c>
      <c r="F66" s="100">
        <v>12762198</v>
      </c>
      <c r="G66" s="101">
        <f t="shared" si="26"/>
        <v>0.47611259093452718</v>
      </c>
      <c r="H66" s="100">
        <v>15724080</v>
      </c>
      <c r="I66" s="101">
        <f t="shared" si="18"/>
        <v>0.50959554057557688</v>
      </c>
      <c r="J66" s="100">
        <v>14442818</v>
      </c>
      <c r="K66" s="101">
        <f t="shared" si="19"/>
        <v>0.48449573968466958</v>
      </c>
      <c r="L66" s="100">
        <v>12638749.91</v>
      </c>
      <c r="M66" s="101">
        <f t="shared" si="20"/>
        <v>0.40717622132731957</v>
      </c>
      <c r="N66" s="100">
        <v>12978814.83</v>
      </c>
      <c r="O66" s="101">
        <f t="shared" si="21"/>
        <v>0.40132389703153987</v>
      </c>
      <c r="P66" s="193">
        <v>13497405.869999999</v>
      </c>
      <c r="Q66" s="101">
        <f t="shared" si="22"/>
        <v>0.42862514671324226</v>
      </c>
      <c r="R66" s="193">
        <v>14792096.089999998</v>
      </c>
      <c r="S66" s="101">
        <f t="shared" si="23"/>
        <v>0.44342218031478986</v>
      </c>
      <c r="T66" s="193">
        <v>14500000</v>
      </c>
      <c r="U66" s="101">
        <f t="shared" si="9"/>
        <v>0.4123820538646587</v>
      </c>
      <c r="V66" s="194"/>
      <c r="W66" s="194"/>
      <c r="X66" s="240">
        <f t="shared" si="10"/>
        <v>0</v>
      </c>
      <c r="Y66" s="240">
        <f t="shared" si="11"/>
        <v>-292096.08999999799</v>
      </c>
      <c r="Z66" s="193">
        <v>14500000</v>
      </c>
      <c r="AA66" s="101">
        <f t="shared" si="12"/>
        <v>0.4123820538646587</v>
      </c>
      <c r="AB66" s="192"/>
      <c r="AC66" s="192"/>
      <c r="AD66" s="193">
        <v>13800000</v>
      </c>
      <c r="AE66" s="101">
        <f t="shared" si="13"/>
        <v>0.37176655746194154</v>
      </c>
      <c r="AF66" s="194">
        <v>0</v>
      </c>
      <c r="AG66" s="193">
        <v>14500000</v>
      </c>
      <c r="AH66" s="101">
        <f t="shared" si="24"/>
        <v>0.3906242813911705</v>
      </c>
      <c r="AI66" s="193">
        <v>13938000</v>
      </c>
      <c r="AJ66" s="101">
        <f t="shared" si="25"/>
        <v>0.35464526713944705</v>
      </c>
      <c r="AK66" s="194">
        <v>0</v>
      </c>
      <c r="AL66" s="193">
        <v>14500000</v>
      </c>
      <c r="AM66" s="101">
        <f t="shared" si="16"/>
        <v>0.3689450691291421</v>
      </c>
      <c r="AN66" s="193">
        <v>14500000</v>
      </c>
      <c r="AO66" s="101">
        <f t="shared" si="17"/>
        <v>0.34779889623787869</v>
      </c>
      <c r="AQ66" s="105"/>
      <c r="AR66" s="106"/>
      <c r="AS66" s="106"/>
      <c r="AT66" s="106"/>
      <c r="AU66" s="106"/>
      <c r="AV66" s="107"/>
      <c r="AW66" s="81"/>
      <c r="AX66" s="81"/>
      <c r="AY66" s="81"/>
      <c r="AZ66" s="81"/>
      <c r="BA66" s="81"/>
      <c r="BB66" s="81"/>
      <c r="BC66" s="81"/>
      <c r="BD66" s="81"/>
      <c r="BE66" s="81"/>
      <c r="BF66" s="81"/>
      <c r="BG66" s="81"/>
      <c r="BH66" s="81"/>
      <c r="BI66" s="81"/>
      <c r="DU66" s="198"/>
      <c r="DV66" s="198"/>
      <c r="DW66" s="176"/>
      <c r="DX66" s="176"/>
      <c r="DY66" s="176"/>
      <c r="DZ66" s="175"/>
    </row>
    <row r="67" spans="1:130" ht="13.5" customHeight="1">
      <c r="A67" s="259"/>
      <c r="B67" s="259">
        <v>425</v>
      </c>
      <c r="C67" s="99" t="s">
        <v>451</v>
      </c>
      <c r="D67" s="100">
        <v>5651577</v>
      </c>
      <c r="E67" s="101">
        <f t="shared" si="26"/>
        <v>0.26299860393689795</v>
      </c>
      <c r="F67" s="100">
        <v>6775917</v>
      </c>
      <c r="G67" s="101">
        <f t="shared" si="26"/>
        <v>0.25278556239507555</v>
      </c>
      <c r="H67" s="100">
        <v>7567643</v>
      </c>
      <c r="I67" s="101">
        <f t="shared" si="18"/>
        <v>0.24525677339901478</v>
      </c>
      <c r="J67" s="100">
        <v>7707976</v>
      </c>
      <c r="K67" s="101">
        <f t="shared" si="19"/>
        <v>0.258570144246897</v>
      </c>
      <c r="L67" s="100">
        <v>7871886.5700000003</v>
      </c>
      <c r="M67" s="101">
        <f t="shared" si="20"/>
        <v>0.25360459310567013</v>
      </c>
      <c r="N67" s="100">
        <v>8254170.3099999996</v>
      </c>
      <c r="O67" s="101">
        <f t="shared" si="21"/>
        <v>0.25523099288806428</v>
      </c>
      <c r="P67" s="193">
        <v>7855049.4100000001</v>
      </c>
      <c r="Q67" s="101">
        <f t="shared" si="22"/>
        <v>0.24944583709114004</v>
      </c>
      <c r="R67" s="193">
        <v>7862525.3600000013</v>
      </c>
      <c r="S67" s="101">
        <f t="shared" si="23"/>
        <v>0.23569466536040659</v>
      </c>
      <c r="T67" s="193">
        <v>7000000</v>
      </c>
      <c r="U67" s="101">
        <f t="shared" si="9"/>
        <v>0.19908099152086972</v>
      </c>
      <c r="V67" s="194"/>
      <c r="W67" s="194"/>
      <c r="X67" s="240">
        <f t="shared" si="10"/>
        <v>0</v>
      </c>
      <c r="Y67" s="240">
        <f t="shared" si="11"/>
        <v>-862525.36000000127</v>
      </c>
      <c r="Z67" s="193">
        <v>7000000</v>
      </c>
      <c r="AA67" s="101">
        <f t="shared" si="12"/>
        <v>0.19908099152086972</v>
      </c>
      <c r="AB67" s="192"/>
      <c r="AC67" s="192"/>
      <c r="AD67" s="193">
        <v>7000000</v>
      </c>
      <c r="AE67" s="101">
        <f t="shared" si="13"/>
        <v>0.1885772392922892</v>
      </c>
      <c r="AF67" s="194">
        <v>0</v>
      </c>
      <c r="AG67" s="193">
        <v>7000000</v>
      </c>
      <c r="AH67" s="101">
        <f t="shared" si="24"/>
        <v>0.1885772392922892</v>
      </c>
      <c r="AI67" s="193">
        <v>7000000</v>
      </c>
      <c r="AJ67" s="101">
        <f t="shared" si="25"/>
        <v>0.1781114126830341</v>
      </c>
      <c r="AK67" s="194">
        <v>0</v>
      </c>
      <c r="AL67" s="193">
        <v>7000000</v>
      </c>
      <c r="AM67" s="101">
        <f t="shared" si="16"/>
        <v>0.1781114126830341</v>
      </c>
      <c r="AN67" s="193">
        <v>7000000</v>
      </c>
      <c r="AO67" s="101">
        <f t="shared" si="17"/>
        <v>0.16790291542518282</v>
      </c>
      <c r="AQ67" s="105"/>
      <c r="AR67" s="106"/>
      <c r="AS67" s="106"/>
      <c r="AT67" s="106"/>
      <c r="AU67" s="106"/>
      <c r="AV67" s="107"/>
      <c r="AW67" s="81"/>
      <c r="AX67" s="81"/>
      <c r="AY67" s="81"/>
      <c r="AZ67" s="81"/>
      <c r="BA67" s="81"/>
      <c r="BB67" s="81"/>
      <c r="BC67" s="81"/>
      <c r="BD67" s="81"/>
      <c r="BE67" s="81"/>
      <c r="BF67" s="81"/>
      <c r="BG67" s="81"/>
      <c r="BH67" s="81"/>
      <c r="BI67" s="81"/>
      <c r="DU67" s="198"/>
      <c r="DV67" s="198"/>
      <c r="DW67" s="176"/>
      <c r="DX67" s="176"/>
      <c r="DY67" s="176"/>
      <c r="DZ67" s="175"/>
    </row>
    <row r="68" spans="1:130" ht="13.5" customHeight="1">
      <c r="A68" s="259">
        <v>43</v>
      </c>
      <c r="B68" s="259"/>
      <c r="C68" s="94" t="s">
        <v>452</v>
      </c>
      <c r="D68" s="95">
        <f>+SUM(D69:D70)</f>
        <v>48400132.840000004</v>
      </c>
      <c r="E68" s="98">
        <f t="shared" si="26"/>
        <v>2.2523213197449858</v>
      </c>
      <c r="F68" s="95">
        <f>+SUM(F69:F70)</f>
        <v>57507793.979999997</v>
      </c>
      <c r="G68" s="98">
        <f t="shared" si="26"/>
        <v>2.145412944599888</v>
      </c>
      <c r="H68" s="95">
        <f>+SUM(H69:H70)</f>
        <v>213711795.17000002</v>
      </c>
      <c r="I68" s="98">
        <f t="shared" si="18"/>
        <v>6.9261017361291159</v>
      </c>
      <c r="J68" s="95">
        <f>+SUM(J69:J70)</f>
        <v>204672473.13999999</v>
      </c>
      <c r="K68" s="98">
        <f t="shared" si="19"/>
        <v>6.8658998034216694</v>
      </c>
      <c r="L68" s="95">
        <f>+SUM(L69:L70)</f>
        <v>174638922.39000002</v>
      </c>
      <c r="M68" s="98">
        <f t="shared" si="20"/>
        <v>5.6262539429768044</v>
      </c>
      <c r="N68" s="95">
        <f>+SUM(N69:N70)</f>
        <v>87914180.150000006</v>
      </c>
      <c r="O68" s="98">
        <f t="shared" si="21"/>
        <v>2.7184347603586891</v>
      </c>
      <c r="P68" s="95">
        <f>+SUM(P69:P70)</f>
        <v>31512266.289999995</v>
      </c>
      <c r="Q68" s="98">
        <f t="shared" si="22"/>
        <v>1.0007070908224831</v>
      </c>
      <c r="R68" s="95">
        <f>+SUM(R69:R70)</f>
        <v>94307106.209999993</v>
      </c>
      <c r="S68" s="98">
        <f t="shared" si="23"/>
        <v>2.8270410359953697</v>
      </c>
      <c r="T68" s="95">
        <f>+SUM(T69:T70)</f>
        <v>101040047.61999999</v>
      </c>
      <c r="U68" s="98">
        <f t="shared" si="9"/>
        <v>2.8735932662150696</v>
      </c>
      <c r="V68" s="190"/>
      <c r="W68" s="190"/>
      <c r="X68" s="239">
        <f t="shared" si="10"/>
        <v>0</v>
      </c>
      <c r="Y68" s="239">
        <f t="shared" si="11"/>
        <v>6732941.4099999964</v>
      </c>
      <c r="Z68" s="95">
        <f>+SUM(Z69:Z70)</f>
        <v>101040047.61999999</v>
      </c>
      <c r="AA68" s="98">
        <f t="shared" si="12"/>
        <v>2.8735932662150696</v>
      </c>
      <c r="AB68" s="96"/>
      <c r="AC68" s="96"/>
      <c r="AD68" s="189">
        <v>87803286.269968927</v>
      </c>
      <c r="AE68" s="98">
        <f t="shared" si="13"/>
        <v>2.3653859036544715</v>
      </c>
      <c r="AF68" s="190">
        <v>0</v>
      </c>
      <c r="AG68" s="95">
        <f>+SUM(AG69:AG70)</f>
        <v>98897025.698200002</v>
      </c>
      <c r="AH68" s="98">
        <f t="shared" si="24"/>
        <v>2.664246868626448</v>
      </c>
      <c r="AI68" s="189">
        <v>88453745.220778704</v>
      </c>
      <c r="AJ68" s="98">
        <f t="shared" si="25"/>
        <v>2.2506602169111529</v>
      </c>
      <c r="AK68" s="190">
        <v>0</v>
      </c>
      <c r="AL68" s="95">
        <f>+SUM(AL69:AL70)</f>
        <v>97042408.312561989</v>
      </c>
      <c r="AM68" s="98">
        <f t="shared" si="16"/>
        <v>2.4691943478163179</v>
      </c>
      <c r="AN68" s="95">
        <f>+SUM(AN69:AN70)</f>
        <v>95976211.063185126</v>
      </c>
      <c r="AO68" s="98">
        <f t="shared" si="17"/>
        <v>2.3020979498530667</v>
      </c>
      <c r="AQ68" s="105"/>
      <c r="AR68" s="106"/>
      <c r="AS68" s="106"/>
      <c r="AT68" s="106"/>
      <c r="AU68" s="106"/>
      <c r="AV68" s="107"/>
      <c r="AW68" s="81"/>
      <c r="AX68" s="81"/>
      <c r="AY68" s="81"/>
      <c r="AZ68" s="81"/>
      <c r="BA68" s="81"/>
      <c r="BB68" s="81"/>
      <c r="BC68" s="81"/>
      <c r="BD68" s="81"/>
      <c r="BE68" s="81"/>
      <c r="BF68" s="81"/>
      <c r="BG68" s="81"/>
      <c r="BH68" s="81"/>
      <c r="BI68" s="81"/>
      <c r="DU68" s="198"/>
      <c r="DV68" s="198"/>
      <c r="DW68" s="176"/>
      <c r="DX68" s="176"/>
      <c r="DY68" s="176"/>
      <c r="DZ68" s="175"/>
    </row>
    <row r="69" spans="1:130" ht="13.5" customHeight="1">
      <c r="A69" s="259" t="s">
        <v>447</v>
      </c>
      <c r="B69" s="259">
        <v>431</v>
      </c>
      <c r="C69" s="99" t="s">
        <v>452</v>
      </c>
      <c r="D69" s="100">
        <v>48400132.840000004</v>
      </c>
      <c r="E69" s="101">
        <f t="shared" si="26"/>
        <v>2.2523213197449858</v>
      </c>
      <c r="F69" s="100">
        <v>57507793.979999997</v>
      </c>
      <c r="G69" s="101">
        <f t="shared" si="26"/>
        <v>2.145412944599888</v>
      </c>
      <c r="H69" s="100">
        <v>213711795.17000002</v>
      </c>
      <c r="I69" s="101">
        <f t="shared" si="18"/>
        <v>6.9261017361291159</v>
      </c>
      <c r="J69" s="100">
        <v>204672473.13999999</v>
      </c>
      <c r="K69" s="101">
        <f t="shared" si="19"/>
        <v>6.8658998034216694</v>
      </c>
      <c r="L69" s="100">
        <v>174638922.39000002</v>
      </c>
      <c r="M69" s="101">
        <f t="shared" si="20"/>
        <v>5.6262539429768044</v>
      </c>
      <c r="N69" s="100">
        <v>87914180.150000006</v>
      </c>
      <c r="O69" s="101">
        <f t="shared" si="21"/>
        <v>2.7184347603586891</v>
      </c>
      <c r="P69" s="193">
        <v>31512266.289999995</v>
      </c>
      <c r="Q69" s="101">
        <f t="shared" si="22"/>
        <v>1.0007070908224831</v>
      </c>
      <c r="R69" s="193">
        <v>94307106.209999993</v>
      </c>
      <c r="S69" s="101">
        <f t="shared" si="23"/>
        <v>2.8270410359953697</v>
      </c>
      <c r="T69" s="193">
        <v>101040047.61999999</v>
      </c>
      <c r="U69" s="101">
        <f t="shared" si="9"/>
        <v>2.8735932662150696</v>
      </c>
      <c r="V69" s="194"/>
      <c r="W69" s="194"/>
      <c r="X69" s="240">
        <f t="shared" si="10"/>
        <v>0</v>
      </c>
      <c r="Y69" s="240">
        <f t="shared" si="11"/>
        <v>6732941.4099999964</v>
      </c>
      <c r="Z69" s="193">
        <v>101040047.61999999</v>
      </c>
      <c r="AA69" s="101">
        <f t="shared" si="12"/>
        <v>2.8735932662150696</v>
      </c>
      <c r="AB69" s="192"/>
      <c r="AC69" s="192"/>
      <c r="AD69" s="193"/>
      <c r="AE69" s="101">
        <f t="shared" si="13"/>
        <v>0</v>
      </c>
      <c r="AF69" s="194"/>
      <c r="AG69" s="193">
        <v>98897025.698200002</v>
      </c>
      <c r="AH69" s="101">
        <f t="shared" si="24"/>
        <v>2.664246868626448</v>
      </c>
      <c r="AI69" s="193"/>
      <c r="AJ69" s="101">
        <f t="shared" si="25"/>
        <v>0</v>
      </c>
      <c r="AK69" s="194"/>
      <c r="AL69" s="193">
        <v>97042408.312561989</v>
      </c>
      <c r="AM69" s="101">
        <f t="shared" si="16"/>
        <v>2.4691943478163179</v>
      </c>
      <c r="AN69" s="193">
        <v>95976211.063185126</v>
      </c>
      <c r="AO69" s="101">
        <f t="shared" si="17"/>
        <v>2.3020979498530667</v>
      </c>
      <c r="AQ69" s="105"/>
      <c r="AR69" s="106"/>
      <c r="AS69" s="106"/>
      <c r="AT69" s="106"/>
      <c r="AU69" s="106"/>
      <c r="AV69" s="107"/>
      <c r="AW69" s="81"/>
      <c r="AX69" s="81"/>
      <c r="AY69" s="81"/>
      <c r="AZ69" s="81"/>
      <c r="BA69" s="81"/>
      <c r="BB69" s="81"/>
      <c r="BC69" s="81"/>
      <c r="BD69" s="81"/>
      <c r="BE69" s="81"/>
      <c r="BF69" s="81"/>
      <c r="BG69" s="81"/>
      <c r="BH69" s="81"/>
      <c r="BI69" s="81"/>
      <c r="DU69" s="198"/>
      <c r="DV69" s="198"/>
      <c r="DW69" s="176"/>
      <c r="DX69" s="176"/>
      <c r="DY69" s="176"/>
      <c r="DZ69" s="175"/>
    </row>
    <row r="70" spans="1:130" ht="13.5" customHeight="1" thickBot="1">
      <c r="A70" s="259" t="s">
        <v>447</v>
      </c>
      <c r="B70" s="259">
        <v>432</v>
      </c>
      <c r="C70" s="99" t="s">
        <v>453</v>
      </c>
      <c r="D70" s="100"/>
      <c r="E70" s="101">
        <f t="shared" si="26"/>
        <v>0</v>
      </c>
      <c r="F70" s="100"/>
      <c r="G70" s="101">
        <f t="shared" si="26"/>
        <v>0</v>
      </c>
      <c r="H70" s="100"/>
      <c r="I70" s="101">
        <f t="shared" si="18"/>
        <v>0</v>
      </c>
      <c r="J70" s="100"/>
      <c r="K70" s="101">
        <f t="shared" si="19"/>
        <v>0</v>
      </c>
      <c r="L70" s="100"/>
      <c r="M70" s="101">
        <f t="shared" si="20"/>
        <v>0</v>
      </c>
      <c r="N70" s="100"/>
      <c r="O70" s="101">
        <f t="shared" si="21"/>
        <v>0</v>
      </c>
      <c r="P70" s="193"/>
      <c r="Q70" s="101">
        <f t="shared" si="22"/>
        <v>0</v>
      </c>
      <c r="R70" s="193"/>
      <c r="S70" s="101">
        <f t="shared" si="23"/>
        <v>0</v>
      </c>
      <c r="T70" s="193"/>
      <c r="U70" s="101">
        <f t="shared" si="9"/>
        <v>0</v>
      </c>
      <c r="V70" s="194"/>
      <c r="W70" s="194"/>
      <c r="X70" s="240">
        <f t="shared" si="10"/>
        <v>0</v>
      </c>
      <c r="Y70" s="240">
        <f t="shared" si="11"/>
        <v>0</v>
      </c>
      <c r="Z70" s="193"/>
      <c r="AA70" s="101">
        <f t="shared" si="12"/>
        <v>0</v>
      </c>
      <c r="AB70" s="192"/>
      <c r="AC70" s="192"/>
      <c r="AD70" s="193"/>
      <c r="AE70" s="101">
        <f t="shared" si="13"/>
        <v>0</v>
      </c>
      <c r="AF70" s="194"/>
      <c r="AG70" s="193"/>
      <c r="AH70" s="101">
        <f t="shared" si="24"/>
        <v>0</v>
      </c>
      <c r="AI70" s="193"/>
      <c r="AJ70" s="101">
        <f t="shared" si="25"/>
        <v>0</v>
      </c>
      <c r="AK70" s="194"/>
      <c r="AL70" s="193"/>
      <c r="AM70" s="101">
        <f t="shared" si="16"/>
        <v>0</v>
      </c>
      <c r="AN70" s="193"/>
      <c r="AO70" s="101">
        <f t="shared" si="17"/>
        <v>0</v>
      </c>
      <c r="AQ70" s="105"/>
      <c r="AR70" s="106"/>
      <c r="AS70" s="106"/>
      <c r="AT70" s="106"/>
      <c r="AU70" s="106"/>
      <c r="AV70" s="107"/>
      <c r="AW70" s="81"/>
      <c r="AX70" s="81"/>
      <c r="AY70" s="81"/>
      <c r="AZ70" s="81"/>
      <c r="BA70" s="81"/>
      <c r="BB70" s="81"/>
      <c r="BC70" s="81"/>
      <c r="BD70" s="81"/>
      <c r="BE70" s="81"/>
      <c r="BF70" s="81"/>
      <c r="BG70" s="81"/>
      <c r="BH70" s="81"/>
      <c r="BI70" s="81"/>
      <c r="DU70" s="198"/>
      <c r="DV70" s="198"/>
      <c r="DW70" s="176"/>
      <c r="DX70" s="176"/>
      <c r="DY70" s="176"/>
      <c r="DZ70" s="175"/>
    </row>
    <row r="71" spans="1:130" ht="13.5" customHeight="1" thickTop="1" thickBot="1">
      <c r="A71" s="259"/>
      <c r="B71" s="259">
        <v>44</v>
      </c>
      <c r="C71" s="90" t="s">
        <v>131</v>
      </c>
      <c r="D71" s="91">
        <v>0</v>
      </c>
      <c r="E71" s="92">
        <f t="shared" si="26"/>
        <v>0</v>
      </c>
      <c r="F71" s="91">
        <v>82459238.990000024</v>
      </c>
      <c r="G71" s="92">
        <f t="shared" si="26"/>
        <v>3.076263346017535</v>
      </c>
      <c r="H71" s="91">
        <v>73370859.459999993</v>
      </c>
      <c r="I71" s="92">
        <f t="shared" si="18"/>
        <v>2.3778474027741763</v>
      </c>
      <c r="J71" s="91">
        <v>112364696.64</v>
      </c>
      <c r="K71" s="92">
        <f t="shared" si="19"/>
        <v>3.7693625172760821</v>
      </c>
      <c r="L71" s="91">
        <v>63250368.810000002</v>
      </c>
      <c r="M71" s="92">
        <f t="shared" si="20"/>
        <v>2.0377051807345361</v>
      </c>
      <c r="N71" s="91">
        <v>67115187.969999999</v>
      </c>
      <c r="O71" s="92">
        <f t="shared" si="21"/>
        <v>2.0752995661719229</v>
      </c>
      <c r="P71" s="199">
        <v>76042699.980000004</v>
      </c>
      <c r="Q71" s="92">
        <f t="shared" si="22"/>
        <v>2.4148205773261355</v>
      </c>
      <c r="R71" s="199">
        <v>61785502.860000007</v>
      </c>
      <c r="S71" s="92">
        <f t="shared" si="23"/>
        <v>1.8521419968700925</v>
      </c>
      <c r="T71" s="199">
        <v>101820500</v>
      </c>
      <c r="U71" s="92">
        <f t="shared" ref="U71:U87" si="27">T71/T$11*100</f>
        <v>2.8957894424501021</v>
      </c>
      <c r="V71" s="93"/>
      <c r="W71" s="93"/>
      <c r="X71" s="93"/>
      <c r="Y71" s="93"/>
      <c r="Z71" s="199">
        <v>126820500</v>
      </c>
      <c r="AA71" s="92">
        <f t="shared" ref="AA71:AA81" si="28">Z71/Z$11*100</f>
        <v>3.6067929835960655</v>
      </c>
      <c r="AB71" s="93"/>
      <c r="AC71" s="93"/>
      <c r="AD71" s="199">
        <v>105626377.49180001</v>
      </c>
      <c r="AE71" s="92">
        <f t="shared" si="13"/>
        <v>2.8455329519784058</v>
      </c>
      <c r="AF71" s="197"/>
      <c r="AG71" s="199">
        <v>230000000</v>
      </c>
      <c r="AH71" s="92">
        <f t="shared" ref="AH71:AH87" si="29">AG71/AG$11*100</f>
        <v>6.196109291032359</v>
      </c>
      <c r="AI71" s="199">
        <v>108795168.81655401</v>
      </c>
      <c r="AJ71" s="92">
        <f t="shared" ref="AJ71:AJ87" si="30">AI71/AI$11*100</f>
        <v>2.7682373158579447</v>
      </c>
      <c r="AK71" s="197"/>
      <c r="AL71" s="199">
        <v>330000000</v>
      </c>
      <c r="AM71" s="92">
        <f t="shared" ref="AM71:AM87" si="31">AL71/AL$11*100</f>
        <v>8.3966808836287505</v>
      </c>
      <c r="AN71" s="199">
        <v>430000000</v>
      </c>
      <c r="AO71" s="92">
        <f t="shared" ref="AO71:AO87" si="32">AN71/AN$11*100</f>
        <v>10.314036233261231</v>
      </c>
      <c r="AQ71" s="105"/>
      <c r="AR71" s="106"/>
      <c r="AS71" s="106"/>
      <c r="AT71" s="106"/>
      <c r="AU71" s="106"/>
      <c r="AV71" s="107"/>
      <c r="AW71" s="81"/>
      <c r="AX71" s="81"/>
      <c r="AY71" s="81"/>
      <c r="AZ71" s="81"/>
      <c r="BA71" s="81"/>
      <c r="BB71" s="81"/>
      <c r="BC71" s="81"/>
      <c r="BD71" s="81"/>
      <c r="BE71" s="81"/>
      <c r="BF71" s="81"/>
      <c r="BG71" s="81"/>
      <c r="BH71" s="81"/>
      <c r="BI71" s="81"/>
      <c r="DU71" s="198"/>
      <c r="DV71" s="198"/>
      <c r="DW71" s="176"/>
      <c r="DX71" s="176"/>
      <c r="DY71" s="176"/>
      <c r="DZ71" s="175"/>
    </row>
    <row r="72" spans="1:130" ht="13.5" customHeight="1" thickTop="1">
      <c r="A72" s="259"/>
      <c r="B72" s="259">
        <v>451</v>
      </c>
      <c r="C72" s="94" t="s">
        <v>111</v>
      </c>
      <c r="D72" s="95">
        <v>15376170.280000001</v>
      </c>
      <c r="E72" s="98">
        <f t="shared" si="26"/>
        <v>0.71553679929266145</v>
      </c>
      <c r="F72" s="95">
        <v>7854938.71</v>
      </c>
      <c r="G72" s="98">
        <f t="shared" si="26"/>
        <v>0.29304005633277375</v>
      </c>
      <c r="H72" s="95">
        <v>62542537.890000001</v>
      </c>
      <c r="I72" s="98">
        <f t="shared" si="18"/>
        <v>2.026916576678766</v>
      </c>
      <c r="J72" s="95">
        <v>17652930.710000001</v>
      </c>
      <c r="K72" s="98">
        <f t="shared" si="19"/>
        <v>0.59218150654142909</v>
      </c>
      <c r="L72" s="95">
        <v>4074638.38</v>
      </c>
      <c r="M72" s="98">
        <f t="shared" si="20"/>
        <v>0.13127056636597936</v>
      </c>
      <c r="N72" s="95">
        <v>2091768.6</v>
      </c>
      <c r="O72" s="98">
        <f t="shared" si="21"/>
        <v>6.4680538033395185E-2</v>
      </c>
      <c r="P72" s="189">
        <v>1775633.69</v>
      </c>
      <c r="Q72" s="98">
        <f t="shared" si="22"/>
        <v>5.6387224198158142E-2</v>
      </c>
      <c r="R72" s="189">
        <v>2752781.9799999995</v>
      </c>
      <c r="S72" s="98">
        <f t="shared" si="23"/>
        <v>8.2520055310353516E-2</v>
      </c>
      <c r="T72" s="189">
        <v>2140000</v>
      </c>
      <c r="U72" s="98">
        <f t="shared" si="27"/>
        <v>6.0861903122094448E-2</v>
      </c>
      <c r="V72" s="190"/>
      <c r="W72" s="190"/>
      <c r="X72" s="239">
        <f>+Z72-T72</f>
        <v>0</v>
      </c>
      <c r="Y72" s="239">
        <f>+Z72-R72</f>
        <v>-612781.97999999952</v>
      </c>
      <c r="Z72" s="189">
        <v>2140000</v>
      </c>
      <c r="AA72" s="98">
        <f t="shared" si="28"/>
        <v>6.0861903122094448E-2</v>
      </c>
      <c r="AB72" s="96"/>
      <c r="AC72" s="96"/>
      <c r="AD72" s="189">
        <v>2076802.3255813953</v>
      </c>
      <c r="AE72" s="98">
        <f t="shared" si="13"/>
        <v>5.5948235587706494E-2</v>
      </c>
      <c r="AF72" s="190"/>
      <c r="AG72" s="189">
        <v>2118600</v>
      </c>
      <c r="AH72" s="98">
        <f t="shared" si="29"/>
        <v>5.7074248452091983E-2</v>
      </c>
      <c r="AI72" s="189">
        <v>2282067.67171444</v>
      </c>
      <c r="AJ72" s="98">
        <f t="shared" si="30"/>
        <v>5.8066042406763059E-2</v>
      </c>
      <c r="AK72" s="190"/>
      <c r="AL72" s="189">
        <v>2013526</v>
      </c>
      <c r="AM72" s="98">
        <f t="shared" si="31"/>
        <v>5.1233137190574131E-2</v>
      </c>
      <c r="AN72" s="189">
        <v>1953120.22</v>
      </c>
      <c r="AO72" s="98">
        <f t="shared" si="32"/>
        <v>4.6847797016267782E-2</v>
      </c>
      <c r="AQ72" s="105"/>
      <c r="AR72" s="106"/>
      <c r="AS72" s="106"/>
      <c r="AT72" s="106"/>
      <c r="AU72" s="106"/>
      <c r="AV72" s="107"/>
      <c r="AW72" s="81"/>
      <c r="AX72" s="81"/>
      <c r="AY72" s="81"/>
      <c r="AZ72" s="81"/>
      <c r="BA72" s="81"/>
      <c r="BB72" s="81"/>
      <c r="BC72" s="81"/>
      <c r="BD72" s="81"/>
      <c r="BE72" s="81"/>
      <c r="BF72" s="81"/>
      <c r="BG72" s="81"/>
      <c r="BH72" s="81"/>
      <c r="BI72" s="81"/>
      <c r="DU72" s="198"/>
      <c r="DV72" s="198"/>
      <c r="DW72" s="176"/>
      <c r="DX72" s="176"/>
      <c r="DY72" s="176"/>
      <c r="DZ72" s="175"/>
    </row>
    <row r="73" spans="1:130" ht="13.5" customHeight="1" thickBot="1">
      <c r="A73" s="259"/>
      <c r="B73" s="259">
        <v>47</v>
      </c>
      <c r="C73" s="94" t="s">
        <v>118</v>
      </c>
      <c r="D73" s="95">
        <v>27204434.309999999</v>
      </c>
      <c r="E73" s="98">
        <f t="shared" si="26"/>
        <v>1.2659702317464749</v>
      </c>
      <c r="F73" s="95">
        <v>10844803.16</v>
      </c>
      <c r="G73" s="98">
        <f t="shared" si="26"/>
        <v>0.40458135273269918</v>
      </c>
      <c r="H73" s="95">
        <v>12437562.109999999</v>
      </c>
      <c r="I73" s="98">
        <f t="shared" si="18"/>
        <v>0.40308407149338865</v>
      </c>
      <c r="J73" s="95">
        <v>10901702.15</v>
      </c>
      <c r="K73" s="98">
        <f t="shared" si="19"/>
        <v>0.36570621100301914</v>
      </c>
      <c r="L73" s="95">
        <v>12589952.310000001</v>
      </c>
      <c r="M73" s="98">
        <f t="shared" si="20"/>
        <v>0.40560413369845366</v>
      </c>
      <c r="N73" s="95">
        <v>11789476.779999999</v>
      </c>
      <c r="O73" s="98">
        <f t="shared" si="21"/>
        <v>0.36454782869511437</v>
      </c>
      <c r="P73" s="189">
        <v>18078018.460000001</v>
      </c>
      <c r="Q73" s="98">
        <f t="shared" si="22"/>
        <v>0.57408759796760878</v>
      </c>
      <c r="R73" s="189">
        <v>14126844.789999999</v>
      </c>
      <c r="S73" s="98">
        <f t="shared" si="23"/>
        <v>0.42347996386970665</v>
      </c>
      <c r="T73" s="189">
        <v>8854649.7699999996</v>
      </c>
      <c r="U73" s="98">
        <f t="shared" si="27"/>
        <v>0.25182749368309154</v>
      </c>
      <c r="V73" s="190"/>
      <c r="W73" s="190"/>
      <c r="X73" s="239">
        <f>+Z73-T73</f>
        <v>0</v>
      </c>
      <c r="Y73" s="239">
        <f>+Z73-R73</f>
        <v>-5272195.0199999996</v>
      </c>
      <c r="Z73" s="189">
        <v>8854649.7699999996</v>
      </c>
      <c r="AA73" s="98">
        <f t="shared" si="28"/>
        <v>0.25182749368309154</v>
      </c>
      <c r="AB73" s="96"/>
      <c r="AC73" s="96"/>
      <c r="AD73" s="189">
        <v>15000000</v>
      </c>
      <c r="AE73" s="98">
        <f t="shared" si="13"/>
        <v>0.40409408419776255</v>
      </c>
      <c r="AF73" s="190"/>
      <c r="AG73" s="206">
        <f>15000000-AR50</f>
        <v>15000000</v>
      </c>
      <c r="AH73" s="98">
        <f t="shared" si="29"/>
        <v>0.40409408419776255</v>
      </c>
      <c r="AI73" s="189">
        <v>15000000</v>
      </c>
      <c r="AJ73" s="98">
        <f t="shared" si="30"/>
        <v>0.38166731289221589</v>
      </c>
      <c r="AK73" s="190"/>
      <c r="AL73" s="189">
        <v>15000000</v>
      </c>
      <c r="AM73" s="98">
        <f t="shared" si="31"/>
        <v>0.38166731289221589</v>
      </c>
      <c r="AN73" s="189">
        <v>15000000</v>
      </c>
      <c r="AO73" s="98">
        <f t="shared" si="32"/>
        <v>0.35979196162539173</v>
      </c>
      <c r="AQ73" s="105"/>
      <c r="AR73" s="106"/>
      <c r="AS73" s="106"/>
      <c r="AT73" s="106"/>
      <c r="AU73" s="106"/>
      <c r="AV73" s="107"/>
      <c r="AW73" s="81"/>
      <c r="AX73" s="81"/>
      <c r="AY73" s="81"/>
      <c r="AZ73" s="81"/>
      <c r="BA73" s="81"/>
      <c r="BB73" s="81"/>
      <c r="BC73" s="81"/>
      <c r="BD73" s="81"/>
      <c r="BE73" s="81"/>
      <c r="BF73" s="81"/>
      <c r="BG73" s="81"/>
      <c r="BH73" s="81"/>
      <c r="BI73" s="81"/>
      <c r="DU73" s="198"/>
      <c r="DV73" s="198"/>
      <c r="DW73" s="176"/>
      <c r="DX73" s="176"/>
      <c r="DY73" s="176"/>
      <c r="DZ73" s="175"/>
    </row>
    <row r="74" spans="1:130" ht="13.5" customHeight="1" thickTop="1" thickBot="1">
      <c r="A74" s="259"/>
      <c r="B74" s="259">
        <v>462</v>
      </c>
      <c r="C74" s="181" t="s">
        <v>113</v>
      </c>
      <c r="D74" s="182">
        <v>1050939.44</v>
      </c>
      <c r="E74" s="183">
        <f t="shared" si="26"/>
        <v>4.8905925822513845E-2</v>
      </c>
      <c r="F74" s="182">
        <v>0</v>
      </c>
      <c r="G74" s="183">
        <f t="shared" si="26"/>
        <v>0</v>
      </c>
      <c r="H74" s="182">
        <v>0</v>
      </c>
      <c r="I74" s="183">
        <f t="shared" si="18"/>
        <v>0</v>
      </c>
      <c r="J74" s="182">
        <v>1769093.84</v>
      </c>
      <c r="K74" s="183">
        <f t="shared" si="19"/>
        <v>5.9345650452868166E-2</v>
      </c>
      <c r="L74" s="182">
        <v>0</v>
      </c>
      <c r="M74" s="183">
        <f t="shared" si="20"/>
        <v>0</v>
      </c>
      <c r="N74" s="182">
        <v>33915163.380000003</v>
      </c>
      <c r="O74" s="183">
        <f t="shared" si="21"/>
        <v>1.0487063506493508</v>
      </c>
      <c r="P74" s="200">
        <v>24719832.629999999</v>
      </c>
      <c r="Q74" s="183">
        <f t="shared" si="22"/>
        <v>0.78500579961892658</v>
      </c>
      <c r="R74" s="200">
        <v>107239350.92999999</v>
      </c>
      <c r="S74" s="183">
        <f t="shared" si="23"/>
        <v>3.2147105126683559</v>
      </c>
      <c r="T74" s="200">
        <v>0</v>
      </c>
      <c r="U74" s="183">
        <f t="shared" si="27"/>
        <v>0</v>
      </c>
      <c r="V74" s="201">
        <v>5153201.26</v>
      </c>
      <c r="W74" s="201"/>
      <c r="X74" s="241">
        <f>+Z74-T74</f>
        <v>5153201.26</v>
      </c>
      <c r="Y74" s="241">
        <f>+Z74-R74</f>
        <v>-102086149.66999999</v>
      </c>
      <c r="Z74" s="200">
        <f>+V74</f>
        <v>5153201.26</v>
      </c>
      <c r="AA74" s="183">
        <f t="shared" si="28"/>
        <v>0.14655777376391357</v>
      </c>
      <c r="AB74" s="204"/>
      <c r="AC74" s="204"/>
      <c r="AD74" s="200">
        <v>0</v>
      </c>
      <c r="AE74" s="183">
        <f t="shared" si="13"/>
        <v>0</v>
      </c>
      <c r="AF74" s="201"/>
      <c r="AG74" s="200">
        <v>0</v>
      </c>
      <c r="AH74" s="183">
        <f t="shared" si="29"/>
        <v>0</v>
      </c>
      <c r="AI74" s="200">
        <v>0</v>
      </c>
      <c r="AJ74" s="183">
        <f t="shared" si="30"/>
        <v>0</v>
      </c>
      <c r="AK74" s="201"/>
      <c r="AL74" s="200">
        <v>0</v>
      </c>
      <c r="AM74" s="183">
        <f t="shared" si="31"/>
        <v>0</v>
      </c>
      <c r="AN74" s="200">
        <v>0</v>
      </c>
      <c r="AO74" s="183">
        <f t="shared" si="32"/>
        <v>0</v>
      </c>
      <c r="AQ74" s="105"/>
      <c r="AR74" s="106"/>
      <c r="AS74" s="106"/>
      <c r="AT74" s="106"/>
      <c r="AU74" s="106"/>
      <c r="AV74" s="107"/>
      <c r="AW74" s="81"/>
      <c r="AX74" s="81"/>
      <c r="AY74" s="81"/>
      <c r="AZ74" s="81"/>
      <c r="BA74" s="81"/>
      <c r="BB74" s="81"/>
      <c r="BC74" s="81"/>
      <c r="BD74" s="81"/>
      <c r="BE74" s="81"/>
      <c r="BF74" s="81"/>
      <c r="BG74" s="81"/>
      <c r="BH74" s="81"/>
      <c r="BI74" s="81"/>
      <c r="DU74" s="198"/>
      <c r="DV74" s="198"/>
      <c r="DW74" s="176"/>
      <c r="DX74" s="176"/>
      <c r="DY74" s="176"/>
      <c r="DZ74" s="175"/>
    </row>
    <row r="75" spans="1:130" ht="13.5" customHeight="1" thickTop="1" thickBot="1">
      <c r="A75" s="259"/>
      <c r="B75" s="259"/>
      <c r="C75" s="180" t="s">
        <v>152</v>
      </c>
      <c r="D75" s="95">
        <v>0</v>
      </c>
      <c r="E75" s="98">
        <f t="shared" si="26"/>
        <v>0</v>
      </c>
      <c r="F75" s="95">
        <v>0</v>
      </c>
      <c r="G75" s="98">
        <f t="shared" si="26"/>
        <v>0</v>
      </c>
      <c r="H75" s="95">
        <v>0</v>
      </c>
      <c r="I75" s="98">
        <f t="shared" si="18"/>
        <v>0</v>
      </c>
      <c r="J75" s="95">
        <v>29123695.350000001</v>
      </c>
      <c r="K75" s="98">
        <f t="shared" si="19"/>
        <v>0.97697736833277427</v>
      </c>
      <c r="L75" s="95">
        <v>29801618.829999998</v>
      </c>
      <c r="M75" s="98">
        <f t="shared" si="20"/>
        <v>0.9601036994201031</v>
      </c>
      <c r="N75" s="95">
        <v>29193708.800000001</v>
      </c>
      <c r="O75" s="98">
        <f t="shared" si="21"/>
        <v>0.90271208410636994</v>
      </c>
      <c r="P75" s="189">
        <v>33114247.129999999</v>
      </c>
      <c r="Q75" s="98">
        <f t="shared" si="22"/>
        <v>1.0515797754842806</v>
      </c>
      <c r="R75" s="189">
        <v>0</v>
      </c>
      <c r="S75" s="98">
        <f t="shared" si="23"/>
        <v>0</v>
      </c>
      <c r="T75" s="189">
        <v>0</v>
      </c>
      <c r="U75" s="98">
        <f t="shared" si="27"/>
        <v>0</v>
      </c>
      <c r="V75" s="190"/>
      <c r="W75" s="190"/>
      <c r="X75" s="239">
        <f>+Z75-T75</f>
        <v>0</v>
      </c>
      <c r="Y75" s="239">
        <f>+Z75-R75</f>
        <v>0</v>
      </c>
      <c r="Z75" s="189">
        <v>0</v>
      </c>
      <c r="AA75" s="98">
        <f t="shared" si="28"/>
        <v>0</v>
      </c>
      <c r="AB75" s="96"/>
      <c r="AC75" s="96"/>
      <c r="AD75" s="189">
        <v>0</v>
      </c>
      <c r="AE75" s="98">
        <f t="shared" si="13"/>
        <v>0</v>
      </c>
      <c r="AF75" s="190"/>
      <c r="AG75" s="189">
        <v>0</v>
      </c>
      <c r="AH75" s="98">
        <f t="shared" si="29"/>
        <v>0</v>
      </c>
      <c r="AI75" s="189">
        <v>0</v>
      </c>
      <c r="AJ75" s="98">
        <f t="shared" si="30"/>
        <v>0</v>
      </c>
      <c r="AK75" s="190"/>
      <c r="AL75" s="189">
        <v>0</v>
      </c>
      <c r="AM75" s="98">
        <f t="shared" si="31"/>
        <v>0</v>
      </c>
      <c r="AN75" s="189">
        <v>0</v>
      </c>
      <c r="AO75" s="98">
        <f t="shared" si="32"/>
        <v>0</v>
      </c>
      <c r="AQ75" s="105"/>
      <c r="AR75" s="106"/>
      <c r="AS75" s="106"/>
      <c r="AT75" s="106"/>
      <c r="AU75" s="106"/>
      <c r="AV75" s="107"/>
      <c r="AW75" s="81"/>
      <c r="AX75" s="81"/>
      <c r="AY75" s="81"/>
      <c r="AZ75" s="81"/>
      <c r="BA75" s="81"/>
      <c r="BB75" s="81"/>
      <c r="BC75" s="81"/>
      <c r="BD75" s="81"/>
      <c r="BE75" s="81"/>
      <c r="BF75" s="81"/>
      <c r="BG75" s="81"/>
      <c r="BH75" s="81"/>
      <c r="BI75" s="81"/>
      <c r="DU75" s="198"/>
      <c r="DV75" s="198"/>
      <c r="DW75" s="176"/>
      <c r="DX75" s="176"/>
      <c r="DY75" s="176"/>
      <c r="DZ75" s="175"/>
    </row>
    <row r="76" spans="1:130" ht="13.5" customHeight="1" thickTop="1" thickBot="1">
      <c r="A76" s="259"/>
      <c r="B76" s="259"/>
      <c r="C76" s="90" t="s">
        <v>132</v>
      </c>
      <c r="D76" s="91">
        <f>+D16-D49</f>
        <v>113330709.85999954</v>
      </c>
      <c r="E76" s="92">
        <f t="shared" si="26"/>
        <v>5.2738940788310078</v>
      </c>
      <c r="F76" s="91">
        <f>+F16-F49</f>
        <v>176962896.35999978</v>
      </c>
      <c r="G76" s="92">
        <f t="shared" si="26"/>
        <v>6.6018614571908145</v>
      </c>
      <c r="H76" s="91">
        <f>+H16-H49</f>
        <v>90335941.4599998</v>
      </c>
      <c r="I76" s="92">
        <f t="shared" si="18"/>
        <v>2.9276620903551915</v>
      </c>
      <c r="J76" s="91">
        <f>+J16-J49</f>
        <v>-105584071.02449965</v>
      </c>
      <c r="K76" s="92">
        <f t="shared" si="19"/>
        <v>-3.5419010742871402</v>
      </c>
      <c r="L76" s="91">
        <f>+L16-L49</f>
        <v>-92871951.409999847</v>
      </c>
      <c r="M76" s="92">
        <f t="shared" si="20"/>
        <v>-2.992008743878861</v>
      </c>
      <c r="N76" s="91">
        <f>+N16-N49</f>
        <v>-172662602.11999989</v>
      </c>
      <c r="O76" s="92">
        <f t="shared" si="21"/>
        <v>-5.338979657390226</v>
      </c>
      <c r="P76" s="91">
        <f>+P16-P49</f>
        <v>-199469929.4000001</v>
      </c>
      <c r="Q76" s="92">
        <f t="shared" si="22"/>
        <v>-6.3343896284534811</v>
      </c>
      <c r="R76" s="91">
        <f>+R16-R49</f>
        <v>-121705173.04291773</v>
      </c>
      <c r="S76" s="92">
        <f t="shared" si="23"/>
        <v>-3.6483519886517568</v>
      </c>
      <c r="T76" s="91">
        <f>+T16-T49</f>
        <v>-61548670.382829428</v>
      </c>
      <c r="U76" s="92">
        <f t="shared" si="27"/>
        <v>-1.7504529038006957</v>
      </c>
      <c r="V76" s="93"/>
      <c r="W76" s="202"/>
      <c r="X76" s="202"/>
      <c r="Y76" s="202"/>
      <c r="Z76" s="91" t="e">
        <f>+Z16-Z49</f>
        <v>#REF!</v>
      </c>
      <c r="AA76" s="92" t="e">
        <f t="shared" si="28"/>
        <v>#REF!</v>
      </c>
      <c r="AB76" s="93"/>
      <c r="AC76" s="93"/>
      <c r="AD76" s="91" t="e">
        <f>+AD16-AD49</f>
        <v>#REF!</v>
      </c>
      <c r="AE76" s="92" t="e">
        <f t="shared" si="13"/>
        <v>#REF!</v>
      </c>
      <c r="AF76" s="197"/>
      <c r="AG76" s="91" t="e">
        <f>+AG16-AG49</f>
        <v>#REF!</v>
      </c>
      <c r="AH76" s="92" t="e">
        <f t="shared" si="29"/>
        <v>#REF!</v>
      </c>
      <c r="AI76" s="199">
        <v>14311966.955734968</v>
      </c>
      <c r="AJ76" s="92">
        <f t="shared" si="30"/>
        <v>0.36416066467983688</v>
      </c>
      <c r="AK76" s="197"/>
      <c r="AL76" s="91" t="e">
        <f>+AL16-AL49</f>
        <v>#REF!</v>
      </c>
      <c r="AM76" s="92" t="e">
        <f t="shared" si="31"/>
        <v>#REF!</v>
      </c>
      <c r="AN76" s="91" t="e">
        <f>+AN16-AN49</f>
        <v>#REF!</v>
      </c>
      <c r="AO76" s="92" t="e">
        <f t="shared" si="32"/>
        <v>#REF!</v>
      </c>
      <c r="AQ76" s="105"/>
      <c r="AR76" s="106"/>
      <c r="AS76" s="106"/>
      <c r="AT76" s="106"/>
      <c r="AU76" s="106"/>
      <c r="AV76" s="107"/>
      <c r="AW76" s="81"/>
      <c r="AX76" s="81"/>
      <c r="AY76" s="81"/>
      <c r="AZ76" s="81"/>
      <c r="BA76" s="81"/>
      <c r="BB76" s="81"/>
      <c r="BC76" s="81"/>
      <c r="BD76" s="81"/>
      <c r="BE76" s="81"/>
      <c r="BF76" s="81"/>
      <c r="BG76" s="81"/>
      <c r="BH76" s="81"/>
      <c r="BI76" s="81"/>
      <c r="DU76" s="198"/>
      <c r="DV76" s="198"/>
      <c r="DW76" s="176"/>
      <c r="DX76" s="176"/>
      <c r="DY76" s="176"/>
      <c r="DZ76" s="175"/>
    </row>
    <row r="77" spans="1:130" ht="13.5" customHeight="1" thickTop="1" thickBot="1">
      <c r="A77" s="259"/>
      <c r="B77" s="259"/>
      <c r="C77" s="90" t="s">
        <v>133</v>
      </c>
      <c r="D77" s="91">
        <f>+D76+D57</f>
        <v>136729703.91999954</v>
      </c>
      <c r="E77" s="92">
        <f t="shared" si="26"/>
        <v>6.3627764865745045</v>
      </c>
      <c r="F77" s="91">
        <f>+F76+F57</f>
        <v>204061825.83999977</v>
      </c>
      <c r="G77" s="92">
        <f t="shared" si="26"/>
        <v>7.6128269293042257</v>
      </c>
      <c r="H77" s="91">
        <f>+H76+H57</f>
        <v>112867935.2999998</v>
      </c>
      <c r="I77" s="92">
        <f t="shared" si="18"/>
        <v>3.657892640005179</v>
      </c>
      <c r="J77" s="91">
        <f>+J76+J57</f>
        <v>-81072042.384499654</v>
      </c>
      <c r="K77" s="92">
        <f t="shared" si="19"/>
        <v>-2.7196257089734872</v>
      </c>
      <c r="L77" s="91">
        <f>+L76+L57</f>
        <v>-62615672.939999849</v>
      </c>
      <c r="M77" s="92">
        <f t="shared" si="20"/>
        <v>-2.0172575045103045</v>
      </c>
      <c r="N77" s="91">
        <f>+N76+N57</f>
        <v>-127570252.08999988</v>
      </c>
      <c r="O77" s="92">
        <f t="shared" si="21"/>
        <v>-3.9446583824984502</v>
      </c>
      <c r="P77" s="91">
        <f>+P76+P57</f>
        <v>-142610074.8600001</v>
      </c>
      <c r="Q77" s="92">
        <f t="shared" si="22"/>
        <v>-4.5287416595744716</v>
      </c>
      <c r="R77" s="91">
        <f>+R76+R57</f>
        <v>-54277442.252917737</v>
      </c>
      <c r="S77" s="92">
        <f t="shared" si="23"/>
        <v>-1.6270731098055546</v>
      </c>
      <c r="T77" s="91">
        <f>+T76+T57</f>
        <v>11767452.737170577</v>
      </c>
      <c r="U77" s="92">
        <f t="shared" si="27"/>
        <v>0.3346680226558415</v>
      </c>
      <c r="V77" s="93"/>
      <c r="W77" s="202"/>
      <c r="X77" s="202"/>
      <c r="Y77" s="202"/>
      <c r="Z77" s="91" t="e">
        <f>+Z76+Z57</f>
        <v>#REF!</v>
      </c>
      <c r="AA77" s="92" t="e">
        <f t="shared" si="28"/>
        <v>#REF!</v>
      </c>
      <c r="AB77" s="93"/>
      <c r="AC77" s="93"/>
      <c r="AD77" s="91" t="e">
        <f>+AD76-AD57</f>
        <v>#REF!</v>
      </c>
      <c r="AE77" s="92" t="e">
        <f t="shared" si="13"/>
        <v>#REF!</v>
      </c>
      <c r="AF77" s="197"/>
      <c r="AG77" s="91" t="e">
        <f>+AG76+AG57</f>
        <v>#REF!</v>
      </c>
      <c r="AH77" s="92" t="e">
        <f t="shared" si="29"/>
        <v>#REF!</v>
      </c>
      <c r="AI77" s="199">
        <v>91711966.955734968</v>
      </c>
      <c r="AJ77" s="92">
        <f t="shared" si="30"/>
        <v>2.3335639992036712</v>
      </c>
      <c r="AK77" s="197"/>
      <c r="AL77" s="91" t="e">
        <f>+AL76+AL57</f>
        <v>#REF!</v>
      </c>
      <c r="AM77" s="92" t="e">
        <f t="shared" si="31"/>
        <v>#REF!</v>
      </c>
      <c r="AN77" s="91" t="e">
        <f>+AN76+AN57</f>
        <v>#REF!</v>
      </c>
      <c r="AO77" s="92" t="e">
        <f t="shared" si="32"/>
        <v>#REF!</v>
      </c>
      <c r="AQ77" s="105"/>
      <c r="AR77" s="106"/>
      <c r="AS77" s="106"/>
      <c r="AT77" s="106"/>
      <c r="AU77" s="106"/>
      <c r="AV77" s="107"/>
      <c r="AW77" s="81"/>
      <c r="AX77" s="81"/>
      <c r="AY77" s="81"/>
      <c r="AZ77" s="81"/>
      <c r="BA77" s="81"/>
      <c r="BB77" s="81"/>
      <c r="BC77" s="81"/>
      <c r="BD77" s="81"/>
      <c r="BE77" s="81"/>
      <c r="BF77" s="81"/>
      <c r="BG77" s="81"/>
      <c r="BH77" s="81"/>
      <c r="BI77" s="81"/>
      <c r="DU77" s="198"/>
      <c r="DV77" s="198"/>
      <c r="DW77" s="176"/>
      <c r="DX77" s="176"/>
      <c r="DY77" s="176"/>
      <c r="DZ77" s="175"/>
    </row>
    <row r="78" spans="1:130" ht="13.5" customHeight="1" thickTop="1" thickBot="1">
      <c r="A78" s="259"/>
      <c r="B78" s="259"/>
      <c r="C78" s="90" t="s">
        <v>0</v>
      </c>
      <c r="D78" s="91">
        <f>+SUM(D79:D81)</f>
        <v>104045865.95999999</v>
      </c>
      <c r="E78" s="92">
        <f t="shared" si="26"/>
        <v>4.841819812927544</v>
      </c>
      <c r="F78" s="91">
        <f>+SUM(F79:F81)</f>
        <v>160963531.41999999</v>
      </c>
      <c r="G78" s="92">
        <f t="shared" si="26"/>
        <v>6.0049815862712181</v>
      </c>
      <c r="H78" s="91">
        <f>+SUM(H79:H81)</f>
        <v>122913293.86</v>
      </c>
      <c r="I78" s="92">
        <f t="shared" si="18"/>
        <v>3.9834487250453723</v>
      </c>
      <c r="J78" s="91">
        <f>+SUM(J79:J81)</f>
        <v>151220956.42000002</v>
      </c>
      <c r="K78" s="92">
        <f t="shared" si="19"/>
        <v>5.0728264481717549</v>
      </c>
      <c r="L78" s="91">
        <f>+SUM(L79:L81)</f>
        <v>186013130.75999999</v>
      </c>
      <c r="M78" s="92">
        <f t="shared" si="20"/>
        <v>5.9926910682989689</v>
      </c>
      <c r="N78" s="91">
        <f>+SUM(N79:N81)</f>
        <v>132767747.19999999</v>
      </c>
      <c r="O78" s="92">
        <f t="shared" si="21"/>
        <v>4.1053725170068018</v>
      </c>
      <c r="P78" s="91">
        <f>+SUM(P79:P81)</f>
        <v>118134757.73</v>
      </c>
      <c r="Q78" s="92">
        <f t="shared" si="22"/>
        <v>3.7515007218164498</v>
      </c>
      <c r="R78" s="91">
        <f>+SUM(R79:R81)</f>
        <v>241777428.00999996</v>
      </c>
      <c r="S78" s="92">
        <f t="shared" si="23"/>
        <v>7.2477540455928944</v>
      </c>
      <c r="T78" s="91">
        <f>+SUM(T79:T81)</f>
        <v>171426905.49000001</v>
      </c>
      <c r="U78" s="92">
        <f t="shared" si="27"/>
        <v>4.875405474043375</v>
      </c>
      <c r="V78" s="93"/>
      <c r="W78" s="202"/>
      <c r="X78" s="202"/>
      <c r="Y78" s="202"/>
      <c r="Z78" s="91">
        <f>+SUM(Z79:Z81)</f>
        <v>171426905.49000001</v>
      </c>
      <c r="AA78" s="92">
        <f t="shared" si="28"/>
        <v>4.875405474043375</v>
      </c>
      <c r="AB78" s="93"/>
      <c r="AC78" s="93"/>
      <c r="AD78" s="91">
        <f>+SUM(AD79:AD81)</f>
        <v>433269759.02999997</v>
      </c>
      <c r="AE78" s="92">
        <f t="shared" si="13"/>
        <v>11.67211643238754</v>
      </c>
      <c r="AF78" s="197"/>
      <c r="AG78" s="91">
        <f>+SUM(AG79:AG81)</f>
        <v>452860948.83999997</v>
      </c>
      <c r="AH78" s="92">
        <f t="shared" si="29"/>
        <v>12.199895359361973</v>
      </c>
      <c r="AI78" s="199">
        <v>385100000</v>
      </c>
      <c r="AJ78" s="92">
        <f t="shared" si="30"/>
        <v>9.7986721463194897</v>
      </c>
      <c r="AK78" s="197"/>
      <c r="AL78" s="91">
        <f>+SUM(AL79:AL81)</f>
        <v>415003981.30000001</v>
      </c>
      <c r="AM78" s="92">
        <f t="shared" si="31"/>
        <v>10.559563625489496</v>
      </c>
      <c r="AN78" s="91">
        <f>+SUM(AN79:AN81)</f>
        <v>183837481.49000001</v>
      </c>
      <c r="AO78" s="92">
        <f t="shared" si="32"/>
        <v>4.4095498723705839</v>
      </c>
      <c r="AQ78" s="105"/>
      <c r="AR78" s="106"/>
      <c r="AS78" s="106"/>
      <c r="AT78" s="106"/>
      <c r="AU78" s="106"/>
      <c r="AV78" s="107"/>
      <c r="AW78" s="81"/>
      <c r="AX78" s="81"/>
      <c r="AY78" s="81"/>
      <c r="AZ78" s="81"/>
      <c r="BA78" s="81"/>
      <c r="BB78" s="81"/>
      <c r="BC78" s="81"/>
      <c r="BD78" s="81"/>
      <c r="BE78" s="81"/>
      <c r="BF78" s="81"/>
      <c r="BG78" s="81"/>
      <c r="BH78" s="81"/>
      <c r="BI78" s="81"/>
      <c r="DU78" s="198"/>
      <c r="DV78" s="198"/>
      <c r="DW78" s="176"/>
      <c r="DX78" s="176"/>
      <c r="DY78" s="176"/>
      <c r="DZ78" s="175"/>
    </row>
    <row r="79" spans="1:130" ht="13.5" customHeight="1" thickTop="1">
      <c r="A79" s="259"/>
      <c r="B79" s="259">
        <v>4611</v>
      </c>
      <c r="C79" s="99" t="s">
        <v>135</v>
      </c>
      <c r="D79" s="100">
        <v>34109764.159999996</v>
      </c>
      <c r="E79" s="101">
        <f t="shared" si="26"/>
        <v>1.5873127721159661</v>
      </c>
      <c r="F79" s="100">
        <v>23247139.440000001</v>
      </c>
      <c r="G79" s="101">
        <f t="shared" si="26"/>
        <v>0.86726877224398446</v>
      </c>
      <c r="H79" s="100">
        <v>48375025.880000003</v>
      </c>
      <c r="I79" s="101">
        <f t="shared" si="18"/>
        <v>1.5677672374902776</v>
      </c>
      <c r="J79" s="100">
        <v>68898727.290000007</v>
      </c>
      <c r="K79" s="101">
        <f t="shared" si="19"/>
        <v>2.3112622371687355</v>
      </c>
      <c r="L79" s="100">
        <v>56807566.530000001</v>
      </c>
      <c r="M79" s="101">
        <f t="shared" si="20"/>
        <v>1.8301406742912374</v>
      </c>
      <c r="N79" s="100">
        <v>31950887.579999998</v>
      </c>
      <c r="O79" s="101">
        <f t="shared" si="21"/>
        <v>0.98796807606679038</v>
      </c>
      <c r="P79" s="193">
        <v>60636105.950000003</v>
      </c>
      <c r="Q79" s="101">
        <f t="shared" si="22"/>
        <v>1.9255670355668466</v>
      </c>
      <c r="R79" s="193">
        <v>112695950.91</v>
      </c>
      <c r="S79" s="101">
        <f t="shared" si="23"/>
        <v>3.3782828316632929</v>
      </c>
      <c r="T79" s="193">
        <v>30008345.27</v>
      </c>
      <c r="U79" s="101">
        <f t="shared" si="27"/>
        <v>0.8534415900360286</v>
      </c>
      <c r="V79" s="192"/>
      <c r="W79" s="192"/>
      <c r="X79" s="192"/>
      <c r="Y79" s="192"/>
      <c r="Z79" s="193">
        <v>30008345.27</v>
      </c>
      <c r="AA79" s="101">
        <f t="shared" si="28"/>
        <v>0.8534415900360286</v>
      </c>
      <c r="AB79" s="192"/>
      <c r="AC79" s="192"/>
      <c r="AD79" s="193">
        <v>33600000</v>
      </c>
      <c r="AE79" s="101">
        <f t="shared" si="13"/>
        <v>0.90517074860298807</v>
      </c>
      <c r="AF79" s="194"/>
      <c r="AG79" s="193">
        <v>81000382.63000001</v>
      </c>
      <c r="AH79" s="101">
        <f t="shared" si="29"/>
        <v>2.1821183625692138</v>
      </c>
      <c r="AI79" s="193">
        <v>28500000</v>
      </c>
      <c r="AJ79" s="101">
        <f t="shared" si="30"/>
        <v>0.72516789449521024</v>
      </c>
      <c r="AK79" s="194"/>
      <c r="AL79" s="193">
        <v>63638748.950000003</v>
      </c>
      <c r="AM79" s="101">
        <f t="shared" si="31"/>
        <v>1.6192553538379217</v>
      </c>
      <c r="AN79" s="193">
        <v>45902322.950000003</v>
      </c>
      <c r="AO79" s="101">
        <f t="shared" si="32"/>
        <v>1.1010191211561826</v>
      </c>
      <c r="AQ79" s="105"/>
      <c r="AR79" s="106"/>
      <c r="AS79" s="106"/>
      <c r="AT79" s="106"/>
      <c r="AU79" s="106"/>
      <c r="AV79" s="107"/>
      <c r="AW79" s="81"/>
      <c r="AX79" s="81"/>
      <c r="AY79" s="81"/>
      <c r="AZ79" s="81"/>
      <c r="BA79" s="81"/>
      <c r="BB79" s="81"/>
      <c r="BC79" s="81"/>
      <c r="BD79" s="81"/>
      <c r="BE79" s="81"/>
      <c r="BF79" s="81"/>
      <c r="BG79" s="81"/>
      <c r="BH79" s="81"/>
      <c r="BI79" s="81"/>
      <c r="DU79" s="198"/>
      <c r="DV79" s="198"/>
      <c r="DW79" s="176"/>
      <c r="DX79" s="176"/>
      <c r="DY79" s="176"/>
      <c r="DZ79" s="175"/>
    </row>
    <row r="80" spans="1:130" ht="13.5" customHeight="1">
      <c r="A80" s="259"/>
      <c r="B80" s="259">
        <v>4612</v>
      </c>
      <c r="C80" s="99" t="s">
        <v>137</v>
      </c>
      <c r="D80" s="100">
        <v>14260035.939999999</v>
      </c>
      <c r="E80" s="101">
        <f t="shared" si="26"/>
        <v>0.66359700032574798</v>
      </c>
      <c r="F80" s="100">
        <v>84151518.439999998</v>
      </c>
      <c r="G80" s="101">
        <f t="shared" si="26"/>
        <v>3.1393963230740534</v>
      </c>
      <c r="H80" s="100">
        <v>16762329.57</v>
      </c>
      <c r="I80" s="101">
        <f t="shared" si="18"/>
        <v>0.5432437636116153</v>
      </c>
      <c r="J80" s="100">
        <v>25402765.82</v>
      </c>
      <c r="K80" s="101">
        <f t="shared" si="19"/>
        <v>0.8521558477021135</v>
      </c>
      <c r="L80" s="100">
        <v>45342776.32</v>
      </c>
      <c r="M80" s="101">
        <f t="shared" si="20"/>
        <v>1.4607853195876288</v>
      </c>
      <c r="N80" s="100">
        <v>59510365.689999998</v>
      </c>
      <c r="O80" s="101">
        <f t="shared" si="21"/>
        <v>1.8401473620902906</v>
      </c>
      <c r="P80" s="193">
        <v>54874811.390000001</v>
      </c>
      <c r="Q80" s="101">
        <f t="shared" si="22"/>
        <v>1.7426107141949827</v>
      </c>
      <c r="R80" s="193">
        <v>68802905.489999995</v>
      </c>
      <c r="S80" s="101">
        <f t="shared" si="23"/>
        <v>2.0625024458158605</v>
      </c>
      <c r="T80" s="193">
        <v>108080400.25</v>
      </c>
      <c r="U80" s="101">
        <f t="shared" si="27"/>
        <v>3.073821892248922</v>
      </c>
      <c r="V80" s="192"/>
      <c r="W80" s="192"/>
      <c r="X80" s="192"/>
      <c r="Y80" s="192"/>
      <c r="Z80" s="193">
        <v>108080400.25</v>
      </c>
      <c r="AA80" s="101">
        <f t="shared" si="28"/>
        <v>3.073821892248922</v>
      </c>
      <c r="AB80" s="192"/>
      <c r="AC80" s="192"/>
      <c r="AD80" s="193">
        <v>367769759.02999997</v>
      </c>
      <c r="AE80" s="101">
        <f t="shared" si="13"/>
        <v>9.9075722647239761</v>
      </c>
      <c r="AF80" s="194"/>
      <c r="AG80" s="193">
        <v>361860566.20999998</v>
      </c>
      <c r="AH80" s="101">
        <f t="shared" si="29"/>
        <v>9.7483809406609172</v>
      </c>
      <c r="AI80" s="193">
        <v>331900000</v>
      </c>
      <c r="AJ80" s="101">
        <f t="shared" si="30"/>
        <v>8.4450254099284301</v>
      </c>
      <c r="AK80" s="194"/>
      <c r="AL80" s="193">
        <v>341365232.35000002</v>
      </c>
      <c r="AM80" s="101">
        <f t="shared" si="31"/>
        <v>8.6858633963900971</v>
      </c>
      <c r="AN80" s="193">
        <v>127935158.54000001</v>
      </c>
      <c r="AO80" s="101">
        <f t="shared" si="32"/>
        <v>3.0686694434641395</v>
      </c>
      <c r="AQ80" s="105"/>
      <c r="AR80" s="106"/>
      <c r="AS80" s="106"/>
      <c r="AT80" s="106"/>
      <c r="AU80" s="106"/>
      <c r="AV80" s="107"/>
      <c r="AW80" s="81"/>
      <c r="AX80" s="81"/>
      <c r="AY80" s="81"/>
      <c r="AZ80" s="81"/>
      <c r="BA80" s="81"/>
      <c r="BB80" s="81"/>
      <c r="BC80" s="81"/>
      <c r="BD80" s="81"/>
      <c r="BE80" s="81"/>
      <c r="BF80" s="81"/>
      <c r="BG80" s="81"/>
      <c r="BH80" s="81"/>
      <c r="BI80" s="81"/>
      <c r="DU80" s="198"/>
      <c r="DV80" s="198"/>
      <c r="DW80" s="176"/>
      <c r="DX80" s="176"/>
      <c r="DY80" s="176"/>
      <c r="DZ80" s="175"/>
    </row>
    <row r="81" spans="1:130" ht="13.5" customHeight="1" thickBot="1">
      <c r="A81" s="259"/>
      <c r="B81" s="259">
        <v>4630</v>
      </c>
      <c r="C81" s="99" t="s">
        <v>116</v>
      </c>
      <c r="D81" s="100">
        <v>55676065.859999999</v>
      </c>
      <c r="E81" s="101">
        <f t="shared" si="26"/>
        <v>2.5909100404858298</v>
      </c>
      <c r="F81" s="100">
        <v>53564873.539999999</v>
      </c>
      <c r="G81" s="101">
        <f t="shared" si="26"/>
        <v>1.9983164909531801</v>
      </c>
      <c r="H81" s="100">
        <v>57775938.409999996</v>
      </c>
      <c r="I81" s="101">
        <f t="shared" si="18"/>
        <v>1.8724377239434791</v>
      </c>
      <c r="J81" s="100">
        <v>56919463.310000002</v>
      </c>
      <c r="K81" s="101">
        <f t="shared" si="19"/>
        <v>1.909408363300906</v>
      </c>
      <c r="L81" s="100">
        <v>83862787.909999996</v>
      </c>
      <c r="M81" s="101">
        <f t="shared" si="20"/>
        <v>2.7017650744201029</v>
      </c>
      <c r="N81" s="100">
        <v>41306493.93</v>
      </c>
      <c r="O81" s="101">
        <f t="shared" si="21"/>
        <v>1.2772570788497217</v>
      </c>
      <c r="P81" s="193">
        <v>2623840.39</v>
      </c>
      <c r="Q81" s="101">
        <f t="shared" si="22"/>
        <v>8.3322972054620512E-2</v>
      </c>
      <c r="R81" s="193">
        <v>60278571.609999992</v>
      </c>
      <c r="S81" s="101">
        <f t="shared" si="23"/>
        <v>1.8069687681137414</v>
      </c>
      <c r="T81" s="193">
        <v>33338159.969999999</v>
      </c>
      <c r="U81" s="101">
        <f t="shared" si="27"/>
        <v>0.94814199175842395</v>
      </c>
      <c r="V81" s="192"/>
      <c r="W81" s="192"/>
      <c r="X81" s="192"/>
      <c r="Y81" s="192"/>
      <c r="Z81" s="193">
        <v>33338159.969999999</v>
      </c>
      <c r="AA81" s="101">
        <f t="shared" si="28"/>
        <v>0.94814199175842395</v>
      </c>
      <c r="AB81" s="192"/>
      <c r="AC81" s="192"/>
      <c r="AD81" s="193">
        <v>31900000</v>
      </c>
      <c r="AE81" s="101">
        <f t="shared" si="13"/>
        <v>0.85937341906057507</v>
      </c>
      <c r="AF81" s="194"/>
      <c r="AG81" s="193">
        <v>10000000</v>
      </c>
      <c r="AH81" s="101">
        <f t="shared" si="29"/>
        <v>0.2693960561318417</v>
      </c>
      <c r="AI81" s="193">
        <v>24700000</v>
      </c>
      <c r="AJ81" s="101">
        <f t="shared" si="30"/>
        <v>0.62847884189584891</v>
      </c>
      <c r="AK81" s="194"/>
      <c r="AL81" s="193">
        <v>10000000</v>
      </c>
      <c r="AM81" s="101">
        <f t="shared" si="31"/>
        <v>0.2544448752614773</v>
      </c>
      <c r="AN81" s="193">
        <v>10000000</v>
      </c>
      <c r="AO81" s="101">
        <f t="shared" si="32"/>
        <v>0.23986130775026118</v>
      </c>
      <c r="AQ81" s="105"/>
      <c r="AR81" s="106"/>
      <c r="AS81" s="106"/>
      <c r="AT81" s="106"/>
      <c r="AU81" s="106"/>
      <c r="AV81" s="107"/>
      <c r="AW81" s="81"/>
      <c r="AX81" s="81"/>
      <c r="AY81" s="81"/>
      <c r="AZ81" s="81"/>
      <c r="BA81" s="81"/>
      <c r="BB81" s="81"/>
      <c r="BC81" s="81"/>
      <c r="BD81" s="81"/>
      <c r="BE81" s="81"/>
      <c r="BF81" s="81"/>
      <c r="BG81" s="81"/>
      <c r="BH81" s="81"/>
      <c r="BI81" s="81"/>
      <c r="DU81" s="198"/>
      <c r="DV81" s="198"/>
      <c r="DW81" s="176"/>
      <c r="DX81" s="176"/>
      <c r="DY81" s="176"/>
      <c r="DZ81" s="175"/>
    </row>
    <row r="82" spans="1:130" ht="13.5" customHeight="1" thickTop="1" thickBot="1">
      <c r="A82" s="259"/>
      <c r="B82" s="259"/>
      <c r="C82" s="90" t="s">
        <v>141</v>
      </c>
      <c r="D82" s="91">
        <f>+D76-D78</f>
        <v>9284843.899999544</v>
      </c>
      <c r="E82" s="92">
        <f t="shared" si="26"/>
        <v>0.43207426590346426</v>
      </c>
      <c r="F82" s="91">
        <f>+F76-F78</f>
        <v>15999364.939999789</v>
      </c>
      <c r="G82" s="92">
        <f t="shared" si="26"/>
        <v>0.59687987091959671</v>
      </c>
      <c r="H82" s="91">
        <f>+H76-H78</f>
        <v>-32577352.4000002</v>
      </c>
      <c r="I82" s="92">
        <f t="shared" si="18"/>
        <v>-1.0557866346901801</v>
      </c>
      <c r="J82" s="91">
        <f>+J76-J78</f>
        <v>-256805027.44449967</v>
      </c>
      <c r="K82" s="92">
        <f t="shared" si="19"/>
        <v>-8.6147275224588959</v>
      </c>
      <c r="L82" s="91">
        <f>+L76-L78</f>
        <v>-278885082.16999984</v>
      </c>
      <c r="M82" s="92">
        <f t="shared" si="20"/>
        <v>-8.9846998121778299</v>
      </c>
      <c r="N82" s="91">
        <f>+N76-N78</f>
        <v>-305430349.31999987</v>
      </c>
      <c r="O82" s="92">
        <f t="shared" si="21"/>
        <v>-9.4443521743970269</v>
      </c>
      <c r="P82" s="91">
        <f>+P76-P78</f>
        <v>-317604687.13000011</v>
      </c>
      <c r="Q82" s="92">
        <f t="shared" si="22"/>
        <v>-10.085890350269931</v>
      </c>
      <c r="R82" s="91">
        <f>+R76-R78</f>
        <v>-363482601.05291772</v>
      </c>
      <c r="S82" s="92">
        <f t="shared" si="23"/>
        <v>-10.896106034244651</v>
      </c>
      <c r="T82" s="91">
        <f>+T76-T78</f>
        <v>-232975575.87282944</v>
      </c>
      <c r="U82" s="92">
        <f t="shared" si="27"/>
        <v>-6.6258583778440707</v>
      </c>
      <c r="V82" s="93"/>
      <c r="W82" s="202"/>
      <c r="X82" s="202"/>
      <c r="Y82" s="202"/>
      <c r="Z82" s="91" t="e">
        <f>+Z76-Z78</f>
        <v>#REF!</v>
      </c>
      <c r="AA82" s="92" t="e">
        <f t="shared" ref="AA82:AA87" si="33">Z82/Z$11*100</f>
        <v>#REF!</v>
      </c>
      <c r="AB82" s="93"/>
      <c r="AC82" s="93"/>
      <c r="AD82" s="91" t="e">
        <f>+AD76-AD78</f>
        <v>#REF!</v>
      </c>
      <c r="AE82" s="92" t="e">
        <f t="shared" ref="AE82:AE87" si="34">AD82/AD$11*100</f>
        <v>#REF!</v>
      </c>
      <c r="AF82" s="197"/>
      <c r="AG82" s="91" t="e">
        <f>+AG76-AG78</f>
        <v>#REF!</v>
      </c>
      <c r="AH82" s="92" t="e">
        <f t="shared" si="29"/>
        <v>#REF!</v>
      </c>
      <c r="AI82" s="199">
        <v>-370788033.04426503</v>
      </c>
      <c r="AJ82" s="92">
        <f t="shared" si="30"/>
        <v>-9.4345114816396531</v>
      </c>
      <c r="AK82" s="197"/>
      <c r="AL82" s="91" t="e">
        <f>+AL76-AL78</f>
        <v>#REF!</v>
      </c>
      <c r="AM82" s="92" t="e">
        <f t="shared" si="31"/>
        <v>#REF!</v>
      </c>
      <c r="AN82" s="91" t="e">
        <f>+AN76-AN78</f>
        <v>#REF!</v>
      </c>
      <c r="AO82" s="92" t="e">
        <f t="shared" si="32"/>
        <v>#REF!</v>
      </c>
      <c r="AQ82" s="105"/>
      <c r="AR82" s="106"/>
      <c r="AS82" s="106"/>
      <c r="AT82" s="106"/>
      <c r="AU82" s="106"/>
      <c r="AV82" s="107"/>
      <c r="AW82" s="81"/>
      <c r="AX82" s="81"/>
      <c r="AY82" s="81"/>
      <c r="AZ82" s="81"/>
      <c r="BA82" s="81"/>
      <c r="BB82" s="81"/>
      <c r="BC82" s="81"/>
      <c r="BD82" s="81"/>
      <c r="BE82" s="81"/>
      <c r="BF82" s="81"/>
      <c r="BG82" s="81"/>
      <c r="BH82" s="81"/>
      <c r="BI82" s="81"/>
      <c r="DU82" s="198"/>
      <c r="DV82" s="198"/>
      <c r="DW82" s="176"/>
      <c r="DX82" s="176"/>
      <c r="DY82" s="176"/>
      <c r="DZ82" s="175"/>
    </row>
    <row r="83" spans="1:130" ht="13.5" customHeight="1" thickTop="1" thickBot="1">
      <c r="A83" s="259"/>
      <c r="B83" s="259"/>
      <c r="C83" s="90" t="s">
        <v>121</v>
      </c>
      <c r="D83" s="91">
        <f>+SUM(D84:D87)</f>
        <v>-9284843.899999544</v>
      </c>
      <c r="E83" s="92">
        <f t="shared" si="26"/>
        <v>-0.43207426590346426</v>
      </c>
      <c r="F83" s="91">
        <f>+SUM(F84:F87)</f>
        <v>-15999364.939999789</v>
      </c>
      <c r="G83" s="92">
        <f t="shared" si="26"/>
        <v>-0.59687987091959671</v>
      </c>
      <c r="H83" s="91">
        <f>+SUM(H84:H87)</f>
        <v>32577352.4000002</v>
      </c>
      <c r="I83" s="92">
        <f t="shared" si="18"/>
        <v>1.0557866346901801</v>
      </c>
      <c r="J83" s="91">
        <f>+SUM(J84:J87)</f>
        <v>256805027.44449967</v>
      </c>
      <c r="K83" s="92">
        <f t="shared" si="19"/>
        <v>8.6147275224588959</v>
      </c>
      <c r="L83" s="91">
        <f>+SUM(L84:L87)</f>
        <v>278885082.16999984</v>
      </c>
      <c r="M83" s="92">
        <f t="shared" si="20"/>
        <v>8.9846998121778299</v>
      </c>
      <c r="N83" s="91">
        <f>+SUM(N84:N87)</f>
        <v>305430349.31999987</v>
      </c>
      <c r="O83" s="92">
        <f t="shared" si="21"/>
        <v>9.4443521743970269</v>
      </c>
      <c r="P83" s="91">
        <f>+SUM(P84:P87)</f>
        <v>317604687.13000011</v>
      </c>
      <c r="Q83" s="92">
        <f t="shared" si="22"/>
        <v>10.085890350269931</v>
      </c>
      <c r="R83" s="91">
        <f>+SUM(R84:R87)</f>
        <v>363482601.05291772</v>
      </c>
      <c r="S83" s="92">
        <f t="shared" si="23"/>
        <v>10.896106034244651</v>
      </c>
      <c r="T83" s="91">
        <f>+SUM(T84:T87)</f>
        <v>232975575.87282944</v>
      </c>
      <c r="U83" s="92">
        <f t="shared" si="27"/>
        <v>6.6258583778440707</v>
      </c>
      <c r="V83" s="93"/>
      <c r="W83" s="202"/>
      <c r="X83" s="202"/>
      <c r="Y83" s="202"/>
      <c r="Z83" s="91" t="e">
        <f>+SUM(Z84:Z87)</f>
        <v>#REF!</v>
      </c>
      <c r="AA83" s="92" t="e">
        <f t="shared" si="33"/>
        <v>#REF!</v>
      </c>
      <c r="AB83" s="93"/>
      <c r="AC83" s="93"/>
      <c r="AD83" s="91" t="e">
        <f>+SUM(AD84:AD87)</f>
        <v>#REF!</v>
      </c>
      <c r="AE83" s="92" t="e">
        <f t="shared" si="34"/>
        <v>#REF!</v>
      </c>
      <c r="AF83" s="197"/>
      <c r="AG83" s="91">
        <f>+SUM(AG84:AG87)</f>
        <v>606921532.81536603</v>
      </c>
      <c r="AH83" s="92">
        <f t="shared" si="29"/>
        <v>16.350226732195175</v>
      </c>
      <c r="AI83" s="199">
        <v>370788033.04426503</v>
      </c>
      <c r="AJ83" s="92">
        <f t="shared" si="30"/>
        <v>9.4345114816396531</v>
      </c>
      <c r="AK83" s="197"/>
      <c r="AL83" s="91" t="e">
        <f>+SUM(AL84:AL87)</f>
        <v>#REF!</v>
      </c>
      <c r="AM83" s="92" t="e">
        <f t="shared" si="31"/>
        <v>#REF!</v>
      </c>
      <c r="AN83" s="91" t="e">
        <f>+SUM(AN84:AN87)</f>
        <v>#REF!</v>
      </c>
      <c r="AO83" s="92" t="e">
        <f t="shared" si="32"/>
        <v>#REF!</v>
      </c>
      <c r="AQ83" s="105"/>
      <c r="AR83" s="106"/>
      <c r="AS83" s="106"/>
      <c r="AT83" s="106"/>
      <c r="AU83" s="106"/>
      <c r="AV83" s="107"/>
      <c r="AW83" s="81"/>
      <c r="AX83" s="81"/>
      <c r="AY83" s="81"/>
      <c r="AZ83" s="81"/>
      <c r="BA83" s="81"/>
      <c r="BB83" s="81"/>
      <c r="BC83" s="81"/>
      <c r="BD83" s="81"/>
      <c r="BE83" s="81"/>
      <c r="BF83" s="81"/>
      <c r="BG83" s="81"/>
      <c r="BH83" s="81"/>
      <c r="BI83" s="81"/>
      <c r="DU83" s="198"/>
      <c r="DV83" s="198"/>
      <c r="DW83" s="176"/>
      <c r="DX83" s="176"/>
      <c r="DY83" s="176"/>
      <c r="DZ83" s="175"/>
    </row>
    <row r="84" spans="1:130" ht="13.5" customHeight="1" thickTop="1">
      <c r="A84" s="259"/>
      <c r="B84" s="259">
        <v>7511</v>
      </c>
      <c r="C84" s="99" t="s">
        <v>144</v>
      </c>
      <c r="D84" s="100">
        <v>10687379.58</v>
      </c>
      <c r="E84" s="101">
        <f t="shared" si="26"/>
        <v>0.49734187630880911</v>
      </c>
      <c r="F84" s="100">
        <v>8315797</v>
      </c>
      <c r="G84" s="101">
        <f t="shared" si="26"/>
        <v>0.31023305353478825</v>
      </c>
      <c r="H84" s="100">
        <v>7657882.2599999998</v>
      </c>
      <c r="I84" s="101">
        <f t="shared" si="18"/>
        <v>0.24818130217785844</v>
      </c>
      <c r="J84" s="100">
        <v>108130460.73</v>
      </c>
      <c r="K84" s="101">
        <f t="shared" si="19"/>
        <v>3.6273217286145591</v>
      </c>
      <c r="L84" s="100">
        <v>20068251.93</v>
      </c>
      <c r="M84" s="101">
        <f t="shared" si="20"/>
        <v>0.64652873485824736</v>
      </c>
      <c r="N84" s="100">
        <v>47000000</v>
      </c>
      <c r="O84" s="101">
        <f t="shared" si="21"/>
        <v>1.453308596165739</v>
      </c>
      <c r="P84" s="193">
        <v>63454375.850000001</v>
      </c>
      <c r="Q84" s="101">
        <f t="shared" si="22"/>
        <v>2.015064333121626</v>
      </c>
      <c r="R84" s="193">
        <v>102834751.84999999</v>
      </c>
      <c r="S84" s="101">
        <f t="shared" si="23"/>
        <v>3.0826739902186082</v>
      </c>
      <c r="T84" s="193">
        <v>0</v>
      </c>
      <c r="U84" s="101">
        <f t="shared" si="27"/>
        <v>0</v>
      </c>
      <c r="V84" s="192"/>
      <c r="W84" s="192"/>
      <c r="X84" s="192"/>
      <c r="Y84" s="192"/>
      <c r="Z84" s="193">
        <v>0</v>
      </c>
      <c r="AA84" s="101">
        <f t="shared" si="33"/>
        <v>0</v>
      </c>
      <c r="AB84" s="192"/>
      <c r="AC84" s="192"/>
      <c r="AD84" s="193">
        <v>0</v>
      </c>
      <c r="AE84" s="101">
        <f t="shared" si="34"/>
        <v>0</v>
      </c>
      <c r="AF84" s="194"/>
      <c r="AG84" s="193">
        <v>0</v>
      </c>
      <c r="AH84" s="101">
        <f t="shared" si="29"/>
        <v>0</v>
      </c>
      <c r="AI84" s="193">
        <v>0</v>
      </c>
      <c r="AJ84" s="101">
        <f t="shared" si="30"/>
        <v>0</v>
      </c>
      <c r="AK84" s="194"/>
      <c r="AL84" s="193">
        <v>0</v>
      </c>
      <c r="AM84" s="101">
        <f t="shared" si="31"/>
        <v>0</v>
      </c>
      <c r="AN84" s="193">
        <v>0</v>
      </c>
      <c r="AO84" s="101">
        <f t="shared" si="32"/>
        <v>0</v>
      </c>
      <c r="AQ84" s="105"/>
      <c r="AR84" s="106"/>
      <c r="AS84" s="106"/>
      <c r="AT84" s="106"/>
      <c r="AU84" s="106"/>
      <c r="AV84" s="107"/>
      <c r="AW84" s="81"/>
      <c r="AX84" s="81"/>
      <c r="AY84" s="81"/>
      <c r="AZ84" s="81"/>
      <c r="BA84" s="81"/>
      <c r="BB84" s="81"/>
      <c r="BC84" s="81"/>
      <c r="BD84" s="81"/>
      <c r="BE84" s="81"/>
      <c r="BF84" s="81"/>
      <c r="BG84" s="81"/>
      <c r="BH84" s="81"/>
      <c r="BI84" s="81"/>
      <c r="DU84" s="198"/>
      <c r="DV84" s="198"/>
      <c r="DW84" s="176"/>
      <c r="DX84" s="176"/>
      <c r="DY84" s="176"/>
      <c r="DZ84" s="175"/>
    </row>
    <row r="85" spans="1:130" ht="13.5" customHeight="1">
      <c r="A85" s="259"/>
      <c r="B85" s="259">
        <v>7512</v>
      </c>
      <c r="C85" s="99" t="s">
        <v>122</v>
      </c>
      <c r="D85" s="100">
        <v>13153290.85</v>
      </c>
      <c r="E85" s="101">
        <f t="shared" si="26"/>
        <v>0.61209413420819947</v>
      </c>
      <c r="F85" s="100">
        <v>1996377.48</v>
      </c>
      <c r="G85" s="101">
        <f t="shared" si="26"/>
        <v>7.4477801902630106E-2</v>
      </c>
      <c r="H85" s="100">
        <v>2981267.98</v>
      </c>
      <c r="I85" s="101">
        <f t="shared" si="18"/>
        <v>9.6618744490536687E-2</v>
      </c>
      <c r="J85" s="100">
        <v>148637806.47</v>
      </c>
      <c r="K85" s="101">
        <f t="shared" si="19"/>
        <v>4.9861726424018791</v>
      </c>
      <c r="L85" s="100">
        <v>205658070.65000001</v>
      </c>
      <c r="M85" s="101">
        <f t="shared" si="20"/>
        <v>6.6255821730025772</v>
      </c>
      <c r="N85" s="100">
        <v>187652611.97999999</v>
      </c>
      <c r="O85" s="101">
        <f t="shared" si="21"/>
        <v>5.8024926400742114</v>
      </c>
      <c r="P85" s="193">
        <v>258129375.97</v>
      </c>
      <c r="Q85" s="101">
        <f t="shared" si="22"/>
        <v>8.1971856452842182</v>
      </c>
      <c r="R85" s="193">
        <v>230537476.81999999</v>
      </c>
      <c r="S85" s="101">
        <f t="shared" si="23"/>
        <v>6.910814396676539</v>
      </c>
      <c r="T85" s="193">
        <v>227975575.86282945</v>
      </c>
      <c r="U85" s="101">
        <f t="shared" si="27"/>
        <v>6.4836576693304764</v>
      </c>
      <c r="V85" s="192"/>
      <c r="W85" s="192"/>
      <c r="X85" s="192"/>
      <c r="Y85" s="192"/>
      <c r="Z85" s="193">
        <v>227975575.86282945</v>
      </c>
      <c r="AA85" s="101">
        <f t="shared" si="33"/>
        <v>6.4836576693304764</v>
      </c>
      <c r="AB85" s="192"/>
      <c r="AC85" s="192"/>
      <c r="AD85" s="193">
        <v>438259410.7026937</v>
      </c>
      <c r="AE85" s="101">
        <f t="shared" si="34"/>
        <v>11.806535680597072</v>
      </c>
      <c r="AF85" s="194"/>
      <c r="AG85" s="193">
        <v>606921532.81536603</v>
      </c>
      <c r="AH85" s="101">
        <f t="shared" si="29"/>
        <v>16.350226732195175</v>
      </c>
      <c r="AI85" s="193">
        <v>370788033.04426503</v>
      </c>
      <c r="AJ85" s="101">
        <f t="shared" si="30"/>
        <v>9.4345114816396531</v>
      </c>
      <c r="AK85" s="194"/>
      <c r="AL85" s="193">
        <v>606504987.29418182</v>
      </c>
      <c r="AM85" s="101">
        <f t="shared" si="31"/>
        <v>15.432208583753196</v>
      </c>
      <c r="AN85" s="193">
        <v>405003401.36411858</v>
      </c>
      <c r="AO85" s="101">
        <f t="shared" si="32"/>
        <v>9.7144645494501383</v>
      </c>
      <c r="AQ85" s="105"/>
      <c r="AR85" s="106"/>
      <c r="AS85" s="106"/>
      <c r="AT85" s="106"/>
      <c r="AU85" s="106"/>
      <c r="AV85" s="107"/>
      <c r="AW85" s="81"/>
      <c r="AX85" s="81"/>
      <c r="AY85" s="81"/>
      <c r="AZ85" s="81"/>
      <c r="BA85" s="81"/>
      <c r="BB85" s="81"/>
      <c r="BC85" s="81"/>
      <c r="BD85" s="81"/>
      <c r="BE85" s="81"/>
      <c r="BF85" s="81"/>
      <c r="BG85" s="81"/>
      <c r="BH85" s="81"/>
      <c r="BI85" s="81"/>
      <c r="DU85" s="198"/>
      <c r="DV85" s="198"/>
      <c r="DW85" s="176"/>
      <c r="DX85" s="176"/>
      <c r="DY85" s="176"/>
      <c r="DZ85" s="175"/>
    </row>
    <row r="86" spans="1:130" ht="13.5" customHeight="1" thickBot="1">
      <c r="A86" s="259"/>
      <c r="B86" s="259">
        <v>72</v>
      </c>
      <c r="C86" s="113" t="s">
        <v>329</v>
      </c>
      <c r="D86" s="114">
        <v>20434516.259999998</v>
      </c>
      <c r="E86" s="115">
        <f t="shared" si="26"/>
        <v>0.95092913862906592</v>
      </c>
      <c r="F86" s="114">
        <v>27533307.520000003</v>
      </c>
      <c r="G86" s="115">
        <f t="shared" si="26"/>
        <v>1.0271705845924268</v>
      </c>
      <c r="H86" s="114">
        <v>24817482.77</v>
      </c>
      <c r="I86" s="115">
        <f t="shared" si="18"/>
        <v>0.80430006384495722</v>
      </c>
      <c r="J86" s="114">
        <v>107021361.98999999</v>
      </c>
      <c r="K86" s="115">
        <f t="shared" si="19"/>
        <v>3.5901161351895334</v>
      </c>
      <c r="L86" s="114">
        <v>2781826.52</v>
      </c>
      <c r="M86" s="115">
        <f t="shared" si="20"/>
        <v>8.9620699742268051E-2</v>
      </c>
      <c r="N86" s="114">
        <v>3351251.94</v>
      </c>
      <c r="O86" s="115">
        <f t="shared" si="21"/>
        <v>0.10362560111317255</v>
      </c>
      <c r="P86" s="191">
        <v>3484625.4</v>
      </c>
      <c r="Q86" s="115">
        <f t="shared" si="22"/>
        <v>0.11065815814544298</v>
      </c>
      <c r="R86" s="193">
        <v>11948846.35</v>
      </c>
      <c r="S86" s="115">
        <f t="shared" si="23"/>
        <v>0.35819017592410862</v>
      </c>
      <c r="T86" s="193">
        <v>5000000</v>
      </c>
      <c r="U86" s="115">
        <f t="shared" si="27"/>
        <v>0.14220070822919265</v>
      </c>
      <c r="V86" s="192"/>
      <c r="W86" s="192"/>
      <c r="X86" s="192"/>
      <c r="Y86" s="192"/>
      <c r="Z86" s="193">
        <v>5000000</v>
      </c>
      <c r="AA86" s="115">
        <f t="shared" si="33"/>
        <v>0.14220070822919265</v>
      </c>
      <c r="AB86" s="258"/>
      <c r="AC86" s="258"/>
      <c r="AD86" s="191">
        <v>10000000</v>
      </c>
      <c r="AE86" s="115">
        <f t="shared" si="34"/>
        <v>0.2693960561318417</v>
      </c>
      <c r="AF86" s="203"/>
      <c r="AG86" s="191">
        <v>0</v>
      </c>
      <c r="AH86" s="115">
        <f t="shared" si="29"/>
        <v>0</v>
      </c>
      <c r="AI86" s="191">
        <v>0</v>
      </c>
      <c r="AJ86" s="115">
        <f t="shared" si="30"/>
        <v>0</v>
      </c>
      <c r="AK86" s="203"/>
      <c r="AL86" s="191">
        <v>0</v>
      </c>
      <c r="AM86" s="115">
        <f t="shared" si="31"/>
        <v>0</v>
      </c>
      <c r="AN86" s="191">
        <v>0</v>
      </c>
      <c r="AO86" s="115">
        <f t="shared" si="32"/>
        <v>0</v>
      </c>
      <c r="AQ86" s="105"/>
      <c r="AR86" s="106"/>
      <c r="AS86" s="106"/>
      <c r="AT86" s="106"/>
      <c r="AU86" s="106"/>
      <c r="AV86" s="107"/>
      <c r="AW86" s="81"/>
      <c r="AX86" s="81"/>
      <c r="AY86" s="81"/>
      <c r="AZ86" s="81"/>
      <c r="BA86" s="81"/>
      <c r="BB86" s="81"/>
      <c r="BC86" s="81"/>
      <c r="BD86" s="81"/>
      <c r="BE86" s="81"/>
      <c r="BF86" s="81"/>
      <c r="BG86" s="81"/>
      <c r="BH86" s="81"/>
      <c r="BI86" s="81"/>
      <c r="DU86" s="198"/>
      <c r="DV86" s="198"/>
      <c r="DW86" s="176"/>
      <c r="DX86" s="176"/>
      <c r="DY86" s="176"/>
      <c r="DZ86" s="175"/>
    </row>
    <row r="87" spans="1:130" ht="13.5" customHeight="1" thickTop="1" thickBot="1">
      <c r="A87" s="259"/>
      <c r="B87" s="259"/>
      <c r="C87" s="181" t="s">
        <v>125</v>
      </c>
      <c r="D87" s="182">
        <f>-D82-SUM(D84:D86)</f>
        <v>-53560030.589999542</v>
      </c>
      <c r="E87" s="183">
        <f t="shared" si="26"/>
        <v>-2.4924394150495388</v>
      </c>
      <c r="F87" s="182">
        <f>-F82-SUM(F84:F86)</f>
        <v>-53844846.939999789</v>
      </c>
      <c r="G87" s="183">
        <f t="shared" si="26"/>
        <v>-2.008761310949442</v>
      </c>
      <c r="H87" s="182">
        <f>-H82-SUM(H84:H86)</f>
        <v>-2879280.6099997982</v>
      </c>
      <c r="I87" s="183">
        <f t="shared" si="18"/>
        <v>-9.3313475823172093E-2</v>
      </c>
      <c r="J87" s="182">
        <f>-J82-SUM(J84:J86)</f>
        <v>-106984601.74550033</v>
      </c>
      <c r="K87" s="183">
        <f t="shared" si="19"/>
        <v>-3.5888829837470757</v>
      </c>
      <c r="L87" s="182">
        <f>-L82-SUM(L84:L86)</f>
        <v>50376933.069999814</v>
      </c>
      <c r="M87" s="183">
        <f t="shared" si="20"/>
        <v>1.6229682045747362</v>
      </c>
      <c r="N87" s="182">
        <f>-N82-SUM(N84:N86)</f>
        <v>67426485.399999887</v>
      </c>
      <c r="O87" s="183">
        <f t="shared" si="21"/>
        <v>2.0849253370439049</v>
      </c>
      <c r="P87" s="182">
        <f>-P82-SUM(P84:P86)</f>
        <v>-7463690.0899998546</v>
      </c>
      <c r="Q87" s="183">
        <f t="shared" si="22"/>
        <v>-0.23701778628135453</v>
      </c>
      <c r="R87" s="182">
        <f>-R82-SUM(R84:R86)</f>
        <v>18161526.032917738</v>
      </c>
      <c r="S87" s="183">
        <f t="shared" si="23"/>
        <v>0.54442747142539694</v>
      </c>
      <c r="T87" s="182">
        <f>-T82-SUM(T84:T86)</f>
        <v>9.9999904632568359E-3</v>
      </c>
      <c r="U87" s="183">
        <f t="shared" si="27"/>
        <v>2.8440114523205885E-10</v>
      </c>
      <c r="V87" s="204"/>
      <c r="W87" s="204"/>
      <c r="X87" s="204"/>
      <c r="Y87" s="204"/>
      <c r="Z87" s="182" t="e">
        <f>-Z82-SUM(Z84:Z86)</f>
        <v>#REF!</v>
      </c>
      <c r="AA87" s="183" t="e">
        <f t="shared" si="33"/>
        <v>#REF!</v>
      </c>
      <c r="AB87" s="204"/>
      <c r="AC87" s="204"/>
      <c r="AD87" s="182" t="e">
        <f>-AD82-SUM(AD84:AD86)</f>
        <v>#REF!</v>
      </c>
      <c r="AE87" s="183" t="e">
        <f t="shared" si="34"/>
        <v>#REF!</v>
      </c>
      <c r="AF87" s="201"/>
      <c r="AG87" s="182">
        <v>0</v>
      </c>
      <c r="AH87" s="183">
        <f t="shared" si="29"/>
        <v>0</v>
      </c>
      <c r="AI87" s="182">
        <f>-AI82-SUM(AI84:AI86)</f>
        <v>0</v>
      </c>
      <c r="AJ87" s="183">
        <f t="shared" si="30"/>
        <v>0</v>
      </c>
      <c r="AK87" s="201"/>
      <c r="AL87" s="182" t="e">
        <f>-AL82-SUM(AL84:AL86)</f>
        <v>#REF!</v>
      </c>
      <c r="AM87" s="183" t="e">
        <f t="shared" si="31"/>
        <v>#REF!</v>
      </c>
      <c r="AN87" s="182" t="e">
        <f>-AN82-SUM(AN84:AN86)</f>
        <v>#REF!</v>
      </c>
      <c r="AO87" s="183" t="e">
        <f t="shared" si="32"/>
        <v>#REF!</v>
      </c>
      <c r="AQ87" s="105"/>
      <c r="AR87" s="106"/>
      <c r="AS87" s="106"/>
      <c r="AT87" s="106"/>
      <c r="AU87" s="106"/>
      <c r="AV87" s="107"/>
      <c r="AW87" s="81"/>
      <c r="AX87" s="81"/>
      <c r="AY87" s="81"/>
      <c r="AZ87" s="81"/>
      <c r="BA87" s="81"/>
      <c r="BB87" s="81"/>
      <c r="BC87" s="81"/>
      <c r="BD87" s="81"/>
      <c r="BE87" s="81"/>
      <c r="BF87" s="81"/>
      <c r="BG87" s="81"/>
      <c r="BH87" s="81"/>
      <c r="BI87" s="81"/>
      <c r="DU87" s="198"/>
      <c r="DV87" s="198"/>
      <c r="DW87" s="176"/>
      <c r="DX87" s="176"/>
      <c r="DY87" s="176"/>
      <c r="DZ87" s="175"/>
    </row>
    <row r="88" spans="1:130" ht="13.5" thickTop="1">
      <c r="C88" s="117" t="str">
        <f>IF(MasterSheet!$A$1=1,MasterSheet!C151,MasterSheet!B151)</f>
        <v>Izvor: Ministarstvo finansija Crne Gore</v>
      </c>
      <c r="D88" s="118"/>
      <c r="E88" s="118"/>
      <c r="F88" s="118"/>
      <c r="G88" s="118"/>
      <c r="H88" s="118"/>
      <c r="I88" s="118"/>
      <c r="J88" s="118"/>
      <c r="K88" s="118"/>
      <c r="L88" s="118"/>
      <c r="M88" s="118"/>
      <c r="N88" s="118"/>
      <c r="O88" s="118"/>
      <c r="Q88" s="81"/>
      <c r="R88" s="81"/>
      <c r="S88" s="81"/>
      <c r="AT88" s="81"/>
      <c r="AU88" s="81"/>
      <c r="AV88" s="160"/>
      <c r="AW88" s="81"/>
      <c r="AX88" s="81"/>
      <c r="AY88" s="81"/>
      <c r="AZ88" s="81"/>
      <c r="BA88" s="81"/>
      <c r="BB88" s="81"/>
      <c r="BC88" s="81"/>
      <c r="BD88" s="81"/>
      <c r="BE88" s="81"/>
      <c r="BF88" s="81"/>
      <c r="BG88" s="81"/>
      <c r="BH88" s="81"/>
      <c r="BI88" s="81"/>
    </row>
    <row r="89" spans="1:130">
      <c r="C89" s="116"/>
      <c r="D89" s="116"/>
      <c r="E89" s="116"/>
      <c r="F89" s="116"/>
      <c r="G89" s="116"/>
      <c r="H89" s="116"/>
      <c r="I89" s="116"/>
      <c r="J89" s="116"/>
      <c r="K89" s="116"/>
      <c r="L89" s="116"/>
      <c r="M89" s="116"/>
      <c r="N89" s="116"/>
      <c r="O89" s="116"/>
      <c r="Q89" s="81"/>
      <c r="R89" s="81"/>
      <c r="S89" s="81"/>
      <c r="T89" s="81"/>
      <c r="U89" s="81"/>
      <c r="V89" s="81"/>
      <c r="W89" s="81"/>
      <c r="X89" s="81"/>
      <c r="Y89" s="81"/>
      <c r="Z89" s="81"/>
      <c r="AA89" s="81"/>
      <c r="AB89" s="81"/>
      <c r="AC89" s="81"/>
      <c r="AD89" s="81"/>
      <c r="AT89" s="81"/>
      <c r="AU89" s="81"/>
      <c r="AV89" s="160"/>
      <c r="AW89" s="81"/>
      <c r="AX89" s="81"/>
      <c r="AY89" s="81"/>
      <c r="AZ89" s="81"/>
      <c r="BA89" s="81"/>
      <c r="BB89" s="81"/>
      <c r="BC89" s="81"/>
      <c r="BD89" s="81"/>
      <c r="BE89" s="81"/>
      <c r="BF89" s="81"/>
      <c r="BG89" s="81"/>
      <c r="BH89" s="81"/>
      <c r="BI89" s="81"/>
    </row>
    <row r="90" spans="1:130">
      <c r="D90" s="161"/>
      <c r="E90" s="162"/>
      <c r="F90" s="162"/>
      <c r="G90" s="162"/>
      <c r="H90" s="162"/>
      <c r="I90" s="162"/>
      <c r="J90" s="162"/>
      <c r="K90" s="162"/>
      <c r="L90" s="162"/>
      <c r="M90" s="162"/>
      <c r="N90" s="162"/>
      <c r="O90" s="116"/>
    </row>
    <row r="91" spans="1:130">
      <c r="D91" s="161"/>
      <c r="E91" s="162"/>
      <c r="F91" s="162"/>
      <c r="G91" s="162"/>
      <c r="H91" s="162"/>
      <c r="I91" s="162"/>
      <c r="J91" s="162"/>
      <c r="K91" s="162"/>
      <c r="L91" s="162"/>
      <c r="M91" s="162"/>
      <c r="N91" s="162"/>
      <c r="O91" s="116"/>
    </row>
    <row r="92" spans="1:130">
      <c r="C92" s="162"/>
      <c r="D92" s="162"/>
      <c r="E92" s="162"/>
      <c r="F92" s="162"/>
      <c r="G92" s="162"/>
      <c r="H92" s="162"/>
      <c r="I92" s="162"/>
      <c r="J92" s="162"/>
      <c r="K92" s="162"/>
      <c r="L92" s="162"/>
      <c r="M92" s="162"/>
      <c r="N92" s="162"/>
      <c r="O92" s="116"/>
    </row>
    <row r="93" spans="1:130">
      <c r="E93" s="162"/>
      <c r="F93" s="162"/>
      <c r="G93" s="162"/>
      <c r="H93" s="162"/>
      <c r="I93" s="162"/>
      <c r="J93" s="162"/>
      <c r="K93" s="162"/>
      <c r="L93" s="162"/>
      <c r="M93" s="162"/>
      <c r="N93" s="162"/>
      <c r="O93" s="116"/>
      <c r="Z93" s="111"/>
      <c r="AA93" s="105"/>
      <c r="AB93" s="105"/>
      <c r="AC93" s="105"/>
      <c r="AG93" s="111"/>
      <c r="AH93" s="105"/>
    </row>
    <row r="94" spans="1:130">
      <c r="E94" s="162"/>
      <c r="F94" s="162"/>
      <c r="G94" s="162"/>
      <c r="H94" s="162"/>
      <c r="I94" s="162"/>
      <c r="J94" s="162"/>
      <c r="K94" s="162"/>
      <c r="L94" s="162"/>
      <c r="M94" s="162"/>
      <c r="N94" s="162"/>
      <c r="O94" s="116"/>
    </row>
    <row r="95" spans="1:130">
      <c r="E95" s="162"/>
      <c r="F95" s="162"/>
      <c r="G95" s="162"/>
      <c r="H95" s="162"/>
      <c r="I95" s="162"/>
      <c r="J95" s="162"/>
      <c r="K95" s="162"/>
      <c r="L95" s="162"/>
      <c r="M95" s="162"/>
      <c r="N95" s="162"/>
      <c r="O95" s="116"/>
    </row>
    <row r="96" spans="1:130">
      <c r="E96" s="162"/>
      <c r="F96" s="162"/>
      <c r="G96" s="162"/>
      <c r="H96" s="162"/>
      <c r="I96" s="162"/>
      <c r="J96" s="162"/>
      <c r="K96" s="162"/>
      <c r="L96" s="162"/>
      <c r="M96" s="162"/>
      <c r="N96" s="162"/>
      <c r="O96" s="116"/>
    </row>
    <row r="97" spans="3:19">
      <c r="E97" s="162"/>
      <c r="F97" s="162"/>
      <c r="G97" s="162"/>
      <c r="H97" s="162"/>
      <c r="I97" s="162"/>
      <c r="J97" s="162"/>
      <c r="K97" s="162"/>
      <c r="L97" s="162"/>
      <c r="M97" s="162"/>
      <c r="N97" s="162"/>
      <c r="O97" s="116"/>
    </row>
    <row r="98" spans="3:19">
      <c r="E98" s="162"/>
      <c r="F98" s="162"/>
      <c r="G98" s="162"/>
      <c r="H98" s="162"/>
      <c r="I98" s="162"/>
      <c r="J98" s="162"/>
      <c r="K98" s="162"/>
      <c r="L98" s="162"/>
      <c r="M98" s="162"/>
      <c r="N98" s="162"/>
      <c r="O98" s="116"/>
    </row>
    <row r="99" spans="3:19">
      <c r="E99" s="162"/>
      <c r="F99" s="162"/>
      <c r="G99" s="162"/>
      <c r="H99" s="162"/>
      <c r="I99" s="162"/>
      <c r="J99" s="162"/>
      <c r="K99" s="162"/>
      <c r="L99" s="162"/>
      <c r="M99" s="162"/>
      <c r="N99" s="162"/>
      <c r="O99" s="116"/>
    </row>
    <row r="100" spans="3:19">
      <c r="E100" s="162"/>
      <c r="F100" s="162"/>
      <c r="G100" s="162"/>
      <c r="H100" s="162"/>
      <c r="I100" s="162"/>
      <c r="J100" s="162"/>
      <c r="K100" s="162"/>
      <c r="L100" s="162"/>
      <c r="M100" s="162"/>
      <c r="N100" s="162"/>
      <c r="O100" s="116"/>
    </row>
    <row r="101" spans="3:19">
      <c r="E101" s="162"/>
      <c r="F101" s="162"/>
      <c r="G101" s="162"/>
      <c r="H101" s="162"/>
      <c r="I101" s="162"/>
      <c r="J101" s="162"/>
      <c r="K101" s="162"/>
      <c r="L101" s="162"/>
      <c r="M101" s="162"/>
      <c r="N101" s="162"/>
      <c r="O101" s="116"/>
    </row>
    <row r="102" spans="3:19">
      <c r="E102" s="162"/>
      <c r="F102" s="162"/>
      <c r="G102" s="162"/>
      <c r="H102" s="162"/>
      <c r="I102" s="162"/>
      <c r="J102" s="162"/>
      <c r="K102" s="162"/>
      <c r="L102" s="162"/>
      <c r="M102" s="162"/>
      <c r="N102" s="162"/>
      <c r="O102" s="116"/>
    </row>
    <row r="103" spans="3:19">
      <c r="E103" s="162"/>
      <c r="F103" s="162"/>
      <c r="G103" s="162"/>
      <c r="H103" s="162"/>
      <c r="I103" s="162"/>
      <c r="J103" s="162"/>
      <c r="K103" s="162"/>
      <c r="L103" s="162"/>
      <c r="M103" s="162"/>
      <c r="N103" s="162"/>
      <c r="O103" s="116"/>
    </row>
    <row r="104" spans="3:19">
      <c r="E104" s="162"/>
      <c r="F104" s="162"/>
      <c r="G104" s="162"/>
      <c r="H104" s="162"/>
      <c r="I104" s="162"/>
      <c r="J104" s="162"/>
      <c r="K104" s="162"/>
      <c r="L104" s="162"/>
      <c r="M104" s="162"/>
      <c r="N104" s="162"/>
      <c r="O104" s="116"/>
    </row>
    <row r="105" spans="3:19">
      <c r="E105" s="162"/>
      <c r="F105" s="162"/>
      <c r="G105" s="162"/>
      <c r="H105" s="162"/>
      <c r="I105" s="162"/>
      <c r="J105" s="162"/>
      <c r="K105" s="162"/>
      <c r="L105" s="162"/>
      <c r="M105" s="162"/>
      <c r="N105" s="162"/>
      <c r="O105" s="116"/>
    </row>
    <row r="106" spans="3:19" ht="13.5" thickBot="1">
      <c r="E106" s="162"/>
      <c r="F106" s="162"/>
      <c r="G106" s="162"/>
      <c r="H106" s="162"/>
      <c r="I106" s="162"/>
      <c r="J106" s="162"/>
      <c r="K106" s="162"/>
      <c r="L106" s="162"/>
      <c r="M106" s="162"/>
      <c r="N106" s="162"/>
      <c r="O106" s="116"/>
      <c r="R106" s="81"/>
      <c r="S106" s="81"/>
    </row>
    <row r="107" spans="3:19" ht="13.5" thickBot="1">
      <c r="C107" s="196">
        <v>166553072.60000002</v>
      </c>
      <c r="E107" s="162"/>
      <c r="F107" s="162"/>
      <c r="G107" s="162"/>
      <c r="H107" s="162"/>
      <c r="I107" s="162"/>
      <c r="J107" s="162"/>
      <c r="K107" s="162"/>
      <c r="L107" s="162"/>
      <c r="M107" s="162"/>
      <c r="N107" s="162"/>
      <c r="O107" s="116"/>
      <c r="R107" s="215"/>
      <c r="S107" s="81"/>
    </row>
    <row r="108" spans="3:19" ht="13.5" thickBot="1">
      <c r="C108" s="196">
        <v>442860948.83999997</v>
      </c>
      <c r="E108" s="162"/>
      <c r="F108" s="162"/>
      <c r="G108" s="162"/>
      <c r="H108" s="162"/>
      <c r="I108" s="162"/>
      <c r="J108" s="162"/>
      <c r="K108" s="162"/>
      <c r="L108" s="162"/>
      <c r="M108" s="162"/>
      <c r="N108" s="162"/>
      <c r="O108" s="116"/>
      <c r="R108" s="81"/>
      <c r="S108" s="81"/>
    </row>
    <row r="109" spans="3:19" ht="13.5" thickBot="1">
      <c r="C109" s="196">
        <v>405003981.30000001</v>
      </c>
    </row>
    <row r="110" spans="3:19" ht="13.5" thickBot="1">
      <c r="C110" s="196">
        <v>173837481.49000001</v>
      </c>
    </row>
  </sheetData>
  <sheetProtection formatCells="0" formatColumns="0" formatRows="0" sort="0" autoFilter="0"/>
  <mergeCells count="40">
    <mergeCell ref="AN14:AO14"/>
    <mergeCell ref="P14:Q14"/>
    <mergeCell ref="R14:S14"/>
    <mergeCell ref="T14:U14"/>
    <mergeCell ref="V14:W15"/>
    <mergeCell ref="Z14:AA14"/>
    <mergeCell ref="AD14:AE14"/>
    <mergeCell ref="AF14:AF15"/>
    <mergeCell ref="AG14:AH14"/>
    <mergeCell ref="AI14:AJ14"/>
    <mergeCell ref="AK14:AK15"/>
    <mergeCell ref="AL14:AM14"/>
    <mergeCell ref="AB14:AC14"/>
    <mergeCell ref="N13:O13"/>
    <mergeCell ref="C14:C15"/>
    <mergeCell ref="D14:E14"/>
    <mergeCell ref="F14:G14"/>
    <mergeCell ref="H14:I14"/>
    <mergeCell ref="J14:K14"/>
    <mergeCell ref="L14:M14"/>
    <mergeCell ref="N14:O14"/>
    <mergeCell ref="AG11:AH11"/>
    <mergeCell ref="AI11:AJ11"/>
    <mergeCell ref="AL11:AM11"/>
    <mergeCell ref="AN11:AO11"/>
    <mergeCell ref="P12:Q13"/>
    <mergeCell ref="R12:S13"/>
    <mergeCell ref="P11:Q11"/>
    <mergeCell ref="R11:S11"/>
    <mergeCell ref="T11:U11"/>
    <mergeCell ref="V11:W11"/>
    <mergeCell ref="Z11:AA11"/>
    <mergeCell ref="AD11:AE11"/>
    <mergeCell ref="AB11:AC11"/>
    <mergeCell ref="N11:O11"/>
    <mergeCell ref="D11:E11"/>
    <mergeCell ref="F11:G11"/>
    <mergeCell ref="H11:I11"/>
    <mergeCell ref="J11:K11"/>
    <mergeCell ref="L11:M11"/>
  </mergeCells>
  <printOptions horizontalCentered="1" verticalCentered="1"/>
  <pageMargins left="0" right="0" top="0.19685039370078741" bottom="0.19685039370078741" header="0" footer="0"/>
  <pageSetup paperSize="9" scale="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List Box 1">
              <controlPr defaultSize="0" autoLine="0" autoPict="0">
                <anchor moveWithCells="1">
                  <from>
                    <xdr:col>0</xdr:col>
                    <xdr:colOff>9525</xdr:colOff>
                    <xdr:row>0</xdr:row>
                    <xdr:rowOff>0</xdr:rowOff>
                  </from>
                  <to>
                    <xdr:col>2</xdr:col>
                    <xdr:colOff>1247775</xdr:colOff>
                    <xdr:row>9</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2625-4E09-482A-9CEA-1AD7016D6BD0}">
  <dimension ref="B2:F151"/>
  <sheetViews>
    <sheetView showGridLines="0" zoomScale="85" zoomScaleNormal="85" workbookViewId="0">
      <selection activeCell="D129" sqref="D129"/>
    </sheetView>
  </sheetViews>
  <sheetFormatPr defaultColWidth="9.140625" defaultRowHeight="13.5"/>
  <cols>
    <col min="1" max="1" width="9.140625" style="262"/>
    <col min="2" max="2" width="9.7109375" style="263" customWidth="1"/>
    <col min="3" max="3" width="75.7109375" style="262" customWidth="1"/>
    <col min="4" max="4" width="19.7109375" style="398" customWidth="1"/>
    <col min="5" max="5" width="9.140625" style="262"/>
    <col min="6" max="6" width="9.140625" style="399"/>
    <col min="7" max="16384" width="9.140625" style="262"/>
  </cols>
  <sheetData>
    <row r="2" spans="2:6" ht="14.25" thickBot="1"/>
    <row r="3" spans="2:6" ht="14.25" thickTop="1">
      <c r="B3" s="464" t="s">
        <v>394</v>
      </c>
      <c r="C3" s="466" t="s">
        <v>395</v>
      </c>
      <c r="D3" s="462" t="s">
        <v>396</v>
      </c>
      <c r="E3" s="264"/>
    </row>
    <row r="4" spans="2:6" ht="14.25" thickBot="1">
      <c r="B4" s="465"/>
      <c r="C4" s="467"/>
      <c r="D4" s="463"/>
      <c r="E4" s="264"/>
    </row>
    <row r="5" spans="2:6" s="401" customFormat="1" ht="14.25" thickTop="1">
      <c r="B5" s="265">
        <v>4</v>
      </c>
      <c r="C5" s="266" t="s">
        <v>473</v>
      </c>
      <c r="D5" s="312">
        <f>D6+D64+D95+D113+D124+D131+D146</f>
        <v>43130000</v>
      </c>
      <c r="E5" s="267"/>
      <c r="F5" s="400"/>
    </row>
    <row r="6" spans="2:6" s="401" customFormat="1">
      <c r="B6" s="268">
        <v>41</v>
      </c>
      <c r="C6" s="269" t="s">
        <v>63</v>
      </c>
      <c r="D6" s="311">
        <f>D7+D13+D21+D28+D38+D42+D45+D49+D54</f>
        <v>12519920</v>
      </c>
      <c r="E6" s="267"/>
      <c r="F6" s="400"/>
    </row>
    <row r="7" spans="2:6" s="401" customFormat="1">
      <c r="B7" s="270">
        <v>411</v>
      </c>
      <c r="C7" s="271" t="s">
        <v>64</v>
      </c>
      <c r="D7" s="311">
        <f>SUM(D8:D12)</f>
        <v>6520370</v>
      </c>
      <c r="E7" s="267"/>
      <c r="F7" s="400"/>
    </row>
    <row r="8" spans="2:6" ht="14.25">
      <c r="B8" s="272">
        <v>4111</v>
      </c>
      <c r="C8" s="273" t="s">
        <v>66</v>
      </c>
      <c r="D8" s="403">
        <v>5321700</v>
      </c>
      <c r="E8" s="274"/>
    </row>
    <row r="9" spans="2:6" ht="14.25">
      <c r="B9" s="272">
        <v>4112</v>
      </c>
      <c r="C9" s="273" t="s">
        <v>68</v>
      </c>
      <c r="D9" s="403">
        <v>272700</v>
      </c>
      <c r="E9" s="274"/>
    </row>
    <row r="10" spans="2:6" ht="14.25">
      <c r="B10" s="272">
        <v>4113</v>
      </c>
      <c r="C10" s="273" t="s">
        <v>70</v>
      </c>
      <c r="D10" s="403">
        <v>667340</v>
      </c>
      <c r="E10" s="274"/>
    </row>
    <row r="11" spans="2:6" ht="14.25">
      <c r="B11" s="272">
        <v>4114</v>
      </c>
      <c r="C11" s="273" t="s">
        <v>72</v>
      </c>
      <c r="D11" s="403">
        <v>222760</v>
      </c>
      <c r="E11" s="274"/>
    </row>
    <row r="12" spans="2:6" ht="14.25">
      <c r="B12" s="272">
        <v>4115</v>
      </c>
      <c r="C12" s="273" t="s">
        <v>154</v>
      </c>
      <c r="D12" s="403">
        <v>35870</v>
      </c>
      <c r="E12" s="274"/>
    </row>
    <row r="13" spans="2:6" s="401" customFormat="1">
      <c r="B13" s="270">
        <v>412</v>
      </c>
      <c r="C13" s="271" t="s">
        <v>75</v>
      </c>
      <c r="D13" s="311">
        <f>SUM(D14:D20)</f>
        <v>700400</v>
      </c>
      <c r="E13" s="267"/>
      <c r="F13" s="400"/>
    </row>
    <row r="14" spans="2:6" ht="14.25">
      <c r="B14" s="272">
        <v>4121</v>
      </c>
      <c r="C14" s="273" t="s">
        <v>474</v>
      </c>
      <c r="D14" s="403">
        <v>100000</v>
      </c>
      <c r="E14" s="274"/>
    </row>
    <row r="15" spans="2:6" ht="14.25">
      <c r="B15" s="272">
        <v>4122</v>
      </c>
      <c r="C15" s="273" t="s">
        <v>475</v>
      </c>
      <c r="D15" s="403"/>
      <c r="E15" s="274"/>
    </row>
    <row r="16" spans="2:6" ht="14.25">
      <c r="B16" s="272">
        <v>4123</v>
      </c>
      <c r="C16" s="273" t="s">
        <v>476</v>
      </c>
      <c r="D16" s="403"/>
      <c r="E16" s="274"/>
    </row>
    <row r="17" spans="2:6" ht="14.25">
      <c r="B17" s="272">
        <v>4124</v>
      </c>
      <c r="C17" s="273" t="s">
        <v>477</v>
      </c>
      <c r="D17" s="403">
        <v>31000</v>
      </c>
      <c r="E17" s="274"/>
    </row>
    <row r="18" spans="2:6" ht="14.25">
      <c r="B18" s="272">
        <v>4125</v>
      </c>
      <c r="C18" s="273" t="s">
        <v>478</v>
      </c>
      <c r="D18" s="403">
        <v>125000</v>
      </c>
      <c r="E18" s="274"/>
    </row>
    <row r="19" spans="2:6" ht="14.25">
      <c r="B19" s="272">
        <v>4126</v>
      </c>
      <c r="C19" s="273" t="s">
        <v>479</v>
      </c>
      <c r="D19" s="403">
        <v>125000</v>
      </c>
      <c r="E19" s="274"/>
    </row>
    <row r="20" spans="2:6" ht="14.25">
      <c r="B20" s="272">
        <v>4127</v>
      </c>
      <c r="C20" s="273" t="s">
        <v>51</v>
      </c>
      <c r="D20" s="403">
        <v>319400</v>
      </c>
      <c r="E20" s="274"/>
    </row>
    <row r="21" spans="2:6" s="401" customFormat="1">
      <c r="B21" s="270">
        <v>413</v>
      </c>
      <c r="C21" s="271" t="s">
        <v>448</v>
      </c>
      <c r="D21" s="311">
        <f>SUM(D22:D27)</f>
        <v>831550</v>
      </c>
      <c r="E21" s="267"/>
      <c r="F21" s="400"/>
    </row>
    <row r="22" spans="2:6" ht="14.25">
      <c r="B22" s="272">
        <v>4131</v>
      </c>
      <c r="C22" s="273" t="s">
        <v>480</v>
      </c>
      <c r="D22" s="403">
        <v>169100</v>
      </c>
      <c r="E22" s="274"/>
    </row>
    <row r="23" spans="2:6" ht="14.25">
      <c r="B23" s="272">
        <v>4132</v>
      </c>
      <c r="C23" s="273" t="s">
        <v>481</v>
      </c>
      <c r="D23" s="403"/>
      <c r="E23" s="274"/>
    </row>
    <row r="24" spans="2:6" ht="14.25">
      <c r="B24" s="272">
        <v>4133</v>
      </c>
      <c r="C24" s="273" t="s">
        <v>482</v>
      </c>
      <c r="D24" s="403">
        <v>41800</v>
      </c>
      <c r="E24" s="274"/>
    </row>
    <row r="25" spans="2:6" ht="14.25">
      <c r="B25" s="272">
        <v>4134</v>
      </c>
      <c r="C25" s="273" t="s">
        <v>483</v>
      </c>
      <c r="D25" s="403">
        <v>217500</v>
      </c>
      <c r="E25" s="274"/>
    </row>
    <row r="26" spans="2:6" ht="14.25">
      <c r="B26" s="272">
        <v>4135</v>
      </c>
      <c r="C26" s="273" t="s">
        <v>484</v>
      </c>
      <c r="D26" s="403">
        <v>327000</v>
      </c>
      <c r="E26" s="274"/>
    </row>
    <row r="27" spans="2:6" ht="14.25">
      <c r="B27" s="272">
        <v>4139</v>
      </c>
      <c r="C27" s="273" t="s">
        <v>485</v>
      </c>
      <c r="D27" s="403">
        <v>76150</v>
      </c>
      <c r="E27" s="274"/>
    </row>
    <row r="28" spans="2:6" s="401" customFormat="1">
      <c r="B28" s="270">
        <v>414</v>
      </c>
      <c r="C28" s="271" t="s">
        <v>449</v>
      </c>
      <c r="D28" s="311">
        <f>SUM(D29:D37)</f>
        <v>1112800</v>
      </c>
      <c r="E28" s="267"/>
      <c r="F28" s="400"/>
    </row>
    <row r="29" spans="2:6" ht="14.25">
      <c r="B29" s="272">
        <v>4141</v>
      </c>
      <c r="C29" s="273" t="s">
        <v>486</v>
      </c>
      <c r="D29" s="403">
        <v>76900</v>
      </c>
      <c r="E29" s="274"/>
    </row>
    <row r="30" spans="2:6" ht="14.25">
      <c r="B30" s="272">
        <v>4142</v>
      </c>
      <c r="C30" s="273" t="s">
        <v>487</v>
      </c>
      <c r="D30" s="403">
        <v>80000</v>
      </c>
      <c r="E30" s="274"/>
    </row>
    <row r="31" spans="2:6" ht="14.25">
      <c r="B31" s="272">
        <v>4143</v>
      </c>
      <c r="C31" s="273" t="s">
        <v>488</v>
      </c>
      <c r="D31" s="403">
        <v>84000</v>
      </c>
      <c r="E31" s="274"/>
    </row>
    <row r="32" spans="2:6" ht="14.25">
      <c r="B32" s="272">
        <v>4144</v>
      </c>
      <c r="C32" s="273" t="s">
        <v>489</v>
      </c>
      <c r="D32" s="403">
        <v>18000</v>
      </c>
      <c r="E32" s="274"/>
    </row>
    <row r="33" spans="2:6" ht="14.25">
      <c r="B33" s="272">
        <v>4145</v>
      </c>
      <c r="C33" s="273" t="s">
        <v>490</v>
      </c>
      <c r="D33" s="403"/>
      <c r="E33" s="274"/>
    </row>
    <row r="34" spans="2:6" ht="14.25">
      <c r="B34" s="272">
        <v>4146</v>
      </c>
      <c r="C34" s="273" t="s">
        <v>491</v>
      </c>
      <c r="D34" s="403">
        <v>1900</v>
      </c>
      <c r="E34" s="274"/>
    </row>
    <row r="35" spans="2:6" ht="14.25">
      <c r="B35" s="272">
        <v>4147</v>
      </c>
      <c r="C35" s="273" t="s">
        <v>492</v>
      </c>
      <c r="D35" s="403">
        <v>94500</v>
      </c>
      <c r="E35" s="274"/>
    </row>
    <row r="36" spans="2:6" ht="14.25">
      <c r="B36" s="272">
        <v>4148</v>
      </c>
      <c r="C36" s="273" t="s">
        <v>493</v>
      </c>
      <c r="D36" s="403">
        <v>28000</v>
      </c>
      <c r="E36" s="274"/>
    </row>
    <row r="37" spans="2:6" ht="14.25">
      <c r="B37" s="272">
        <v>4149</v>
      </c>
      <c r="C37" s="273" t="s">
        <v>494</v>
      </c>
      <c r="D37" s="403">
        <v>729500</v>
      </c>
      <c r="E37" s="274"/>
    </row>
    <row r="38" spans="2:6" s="401" customFormat="1">
      <c r="B38" s="270">
        <v>415</v>
      </c>
      <c r="C38" s="271" t="s">
        <v>450</v>
      </c>
      <c r="D38" s="311">
        <f>SUM(D39:D41)</f>
        <v>145000</v>
      </c>
      <c r="E38" s="267"/>
      <c r="F38" s="400"/>
    </row>
    <row r="39" spans="2:6" ht="14.25">
      <c r="B39" s="272">
        <v>4151</v>
      </c>
      <c r="C39" s="273" t="s">
        <v>495</v>
      </c>
      <c r="D39" s="403">
        <v>10000</v>
      </c>
      <c r="E39" s="274"/>
    </row>
    <row r="40" spans="2:6" ht="14.25">
      <c r="B40" s="272">
        <v>4152</v>
      </c>
      <c r="C40" s="273" t="s">
        <v>496</v>
      </c>
      <c r="D40" s="403">
        <v>30000</v>
      </c>
      <c r="E40" s="274"/>
    </row>
    <row r="41" spans="2:6" ht="14.25">
      <c r="B41" s="272">
        <v>4153</v>
      </c>
      <c r="C41" s="273" t="s">
        <v>497</v>
      </c>
      <c r="D41" s="403">
        <v>105000</v>
      </c>
      <c r="E41" s="274"/>
    </row>
    <row r="42" spans="2:6" s="401" customFormat="1">
      <c r="B42" s="270">
        <v>416</v>
      </c>
      <c r="C42" s="271" t="s">
        <v>80</v>
      </c>
      <c r="D42" s="311">
        <f>SUM(D43:D44)</f>
        <v>270000</v>
      </c>
      <c r="E42" s="267"/>
      <c r="F42" s="400"/>
    </row>
    <row r="43" spans="2:6" ht="14.25">
      <c r="B43" s="272">
        <v>4161</v>
      </c>
      <c r="C43" s="273" t="s">
        <v>498</v>
      </c>
      <c r="D43" s="403"/>
      <c r="E43" s="274"/>
    </row>
    <row r="44" spans="2:6" ht="14.25">
      <c r="B44" s="272">
        <v>4162</v>
      </c>
      <c r="C44" s="273" t="s">
        <v>499</v>
      </c>
      <c r="D44" s="403">
        <v>270000</v>
      </c>
      <c r="E44" s="274"/>
    </row>
    <row r="45" spans="2:6" s="401" customFormat="1">
      <c r="B45" s="270">
        <v>417</v>
      </c>
      <c r="C45" s="271" t="s">
        <v>82</v>
      </c>
      <c r="D45" s="311">
        <f>SUM(D46:D48)</f>
        <v>160000</v>
      </c>
      <c r="E45" s="267"/>
      <c r="F45" s="400"/>
    </row>
    <row r="46" spans="2:6" ht="14.25">
      <c r="B46" s="272">
        <v>4171</v>
      </c>
      <c r="C46" s="273" t="s">
        <v>500</v>
      </c>
      <c r="D46" s="403">
        <v>110000</v>
      </c>
      <c r="E46" s="274"/>
    </row>
    <row r="47" spans="2:6" ht="14.25">
      <c r="B47" s="272">
        <v>4172</v>
      </c>
      <c r="C47" s="273" t="s">
        <v>501</v>
      </c>
      <c r="D47" s="403"/>
      <c r="E47" s="274"/>
    </row>
    <row r="48" spans="2:6" ht="14.25">
      <c r="B48" s="272">
        <v>4173</v>
      </c>
      <c r="C48" s="273" t="s">
        <v>502</v>
      </c>
      <c r="D48" s="403">
        <v>50000</v>
      </c>
      <c r="E48" s="274"/>
    </row>
    <row r="49" spans="2:6" s="401" customFormat="1">
      <c r="B49" s="270">
        <v>418</v>
      </c>
      <c r="C49" s="271" t="s">
        <v>84</v>
      </c>
      <c r="D49" s="311">
        <f>SUM(D50:D53)</f>
        <v>810000</v>
      </c>
      <c r="E49" s="267"/>
      <c r="F49" s="400"/>
    </row>
    <row r="50" spans="2:6" ht="14.25">
      <c r="B50" s="272">
        <v>4181</v>
      </c>
      <c r="C50" s="273" t="s">
        <v>503</v>
      </c>
      <c r="D50" s="403">
        <v>810000</v>
      </c>
      <c r="E50" s="274"/>
    </row>
    <row r="51" spans="2:6" ht="14.25">
      <c r="B51" s="272">
        <v>4182</v>
      </c>
      <c r="C51" s="273" t="s">
        <v>504</v>
      </c>
      <c r="D51" s="403" t="s">
        <v>624</v>
      </c>
      <c r="E51" s="274"/>
    </row>
    <row r="52" spans="2:6" ht="14.25">
      <c r="B52" s="272">
        <v>4183</v>
      </c>
      <c r="C52" s="273" t="s">
        <v>505</v>
      </c>
      <c r="D52" s="403"/>
      <c r="E52" s="274"/>
    </row>
    <row r="53" spans="2:6" ht="14.25">
      <c r="B53" s="272">
        <v>4184</v>
      </c>
      <c r="C53" s="273" t="s">
        <v>506</v>
      </c>
      <c r="D53" s="403"/>
      <c r="E53" s="274"/>
    </row>
    <row r="54" spans="2:6" s="401" customFormat="1">
      <c r="B54" s="270">
        <v>419</v>
      </c>
      <c r="C54" s="271" t="s">
        <v>86</v>
      </c>
      <c r="D54" s="311">
        <f>SUM(D55:D63)</f>
        <v>1969800</v>
      </c>
      <c r="E54" s="267"/>
      <c r="F54" s="400"/>
    </row>
    <row r="55" spans="2:6" ht="14.25">
      <c r="B55" s="272">
        <v>4191</v>
      </c>
      <c r="C55" s="273" t="s">
        <v>507</v>
      </c>
      <c r="D55" s="403">
        <v>1150000</v>
      </c>
      <c r="E55" s="274"/>
    </row>
    <row r="56" spans="2:6" ht="14.25">
      <c r="B56" s="272">
        <v>4192</v>
      </c>
      <c r="C56" s="273" t="s">
        <v>508</v>
      </c>
      <c r="D56" s="403">
        <v>260000</v>
      </c>
      <c r="E56" s="274"/>
    </row>
    <row r="57" spans="2:6" ht="14.25">
      <c r="B57" s="272">
        <v>4193</v>
      </c>
      <c r="C57" s="273" t="s">
        <v>509</v>
      </c>
      <c r="D57" s="403">
        <v>9500</v>
      </c>
      <c r="E57" s="274"/>
    </row>
    <row r="58" spans="2:6" ht="14.25">
      <c r="B58" s="272">
        <v>4194</v>
      </c>
      <c r="C58" s="273" t="s">
        <v>510</v>
      </c>
      <c r="D58" s="403">
        <v>39000</v>
      </c>
      <c r="E58" s="274"/>
    </row>
    <row r="59" spans="2:6" ht="14.25">
      <c r="B59" s="275">
        <v>4195</v>
      </c>
      <c r="C59" s="276" t="s">
        <v>511</v>
      </c>
      <c r="D59" s="403">
        <v>8800</v>
      </c>
      <c r="E59" s="274"/>
    </row>
    <row r="60" spans="2:6" ht="14.25">
      <c r="B60" s="272">
        <v>4196</v>
      </c>
      <c r="C60" s="273" t="s">
        <v>512</v>
      </c>
      <c r="D60" s="403">
        <v>29000</v>
      </c>
      <c r="E60" s="274"/>
    </row>
    <row r="61" spans="2:6" ht="14.25">
      <c r="B61" s="275">
        <v>4197</v>
      </c>
      <c r="C61" s="273" t="s">
        <v>513</v>
      </c>
      <c r="D61" s="403"/>
      <c r="E61" s="274"/>
    </row>
    <row r="62" spans="2:6" ht="14.25">
      <c r="B62" s="272">
        <v>4198</v>
      </c>
      <c r="C62" s="273" t="s">
        <v>29</v>
      </c>
      <c r="D62" s="403"/>
      <c r="E62" s="274"/>
    </row>
    <row r="63" spans="2:6" ht="14.25">
      <c r="B63" s="275">
        <v>4199</v>
      </c>
      <c r="C63" s="273" t="s">
        <v>229</v>
      </c>
      <c r="D63" s="403">
        <v>473500</v>
      </c>
      <c r="E63" s="274"/>
    </row>
    <row r="64" spans="2:6" s="401" customFormat="1">
      <c r="B64" s="268">
        <v>42</v>
      </c>
      <c r="C64" s="269" t="s">
        <v>87</v>
      </c>
      <c r="D64" s="311">
        <f>+D65+D74+D80+D88+D91</f>
        <v>2178200</v>
      </c>
      <c r="E64" s="267"/>
      <c r="F64" s="400"/>
    </row>
    <row r="65" spans="2:6" s="401" customFormat="1">
      <c r="B65" s="270">
        <v>421</v>
      </c>
      <c r="C65" s="271" t="s">
        <v>89</v>
      </c>
      <c r="D65" s="311">
        <f>SUM(D66:D73)</f>
        <v>2178200</v>
      </c>
      <c r="E65" s="267"/>
      <c r="F65" s="400"/>
    </row>
    <row r="66" spans="2:6" ht="14.25">
      <c r="B66" s="272">
        <v>4211</v>
      </c>
      <c r="C66" s="273" t="s">
        <v>514</v>
      </c>
      <c r="D66" s="403"/>
      <c r="E66" s="274"/>
    </row>
    <row r="67" spans="2:6" ht="14.25">
      <c r="B67" s="272">
        <v>4212</v>
      </c>
      <c r="C67" s="273" t="s">
        <v>515</v>
      </c>
      <c r="D67" s="403">
        <v>200</v>
      </c>
      <c r="E67" s="274"/>
    </row>
    <row r="68" spans="2:6" ht="14.25">
      <c r="B68" s="272">
        <v>4213</v>
      </c>
      <c r="C68" s="273" t="s">
        <v>516</v>
      </c>
      <c r="D68" s="403">
        <v>230000</v>
      </c>
      <c r="E68" s="274"/>
    </row>
    <row r="69" spans="2:6" ht="14.25">
      <c r="B69" s="272">
        <v>4214</v>
      </c>
      <c r="C69" s="273" t="s">
        <v>517</v>
      </c>
      <c r="D69" s="403"/>
      <c r="E69" s="274"/>
    </row>
    <row r="70" spans="2:6" ht="14.25">
      <c r="B70" s="272">
        <v>4215</v>
      </c>
      <c r="C70" s="273" t="s">
        <v>518</v>
      </c>
      <c r="D70" s="403"/>
      <c r="E70" s="274"/>
    </row>
    <row r="71" spans="2:6" ht="14.25">
      <c r="B71" s="272">
        <v>4216</v>
      </c>
      <c r="C71" s="273" t="s">
        <v>519</v>
      </c>
      <c r="D71" s="403"/>
      <c r="E71" s="274"/>
    </row>
    <row r="72" spans="2:6" ht="14.25">
      <c r="B72" s="272">
        <v>4217</v>
      </c>
      <c r="C72" s="273" t="s">
        <v>520</v>
      </c>
      <c r="D72" s="403"/>
      <c r="E72" s="274"/>
    </row>
    <row r="73" spans="2:6" ht="14.25">
      <c r="B73" s="272">
        <v>4218</v>
      </c>
      <c r="C73" s="273" t="s">
        <v>521</v>
      </c>
      <c r="D73" s="403">
        <v>1948000</v>
      </c>
      <c r="E73" s="274"/>
    </row>
    <row r="74" spans="2:6" s="401" customFormat="1">
      <c r="B74" s="270">
        <v>422</v>
      </c>
      <c r="C74" s="271" t="s">
        <v>91</v>
      </c>
      <c r="D74" s="311">
        <f>SUM(D75:D79)</f>
        <v>0</v>
      </c>
      <c r="E74" s="267"/>
      <c r="F74" s="400"/>
    </row>
    <row r="75" spans="2:6" ht="14.25">
      <c r="B75" s="272">
        <v>4221</v>
      </c>
      <c r="C75" s="273" t="s">
        <v>522</v>
      </c>
      <c r="D75" s="403"/>
      <c r="E75" s="274"/>
    </row>
    <row r="76" spans="2:6" ht="14.25">
      <c r="B76" s="272">
        <v>4222</v>
      </c>
      <c r="C76" s="273" t="s">
        <v>523</v>
      </c>
      <c r="D76" s="403"/>
      <c r="E76" s="274"/>
    </row>
    <row r="77" spans="2:6" ht="14.25">
      <c r="B77" s="272">
        <v>4223</v>
      </c>
      <c r="C77" s="273" t="s">
        <v>524</v>
      </c>
      <c r="D77" s="403"/>
      <c r="E77" s="274"/>
    </row>
    <row r="78" spans="2:6" ht="14.25">
      <c r="B78" s="272">
        <v>4224</v>
      </c>
      <c r="C78" s="273" t="s">
        <v>525</v>
      </c>
      <c r="D78" s="403"/>
      <c r="E78" s="274"/>
    </row>
    <row r="79" spans="2:6" ht="14.25">
      <c r="B79" s="272">
        <v>4225</v>
      </c>
      <c r="C79" s="273" t="s">
        <v>229</v>
      </c>
      <c r="D79" s="403"/>
      <c r="E79" s="274"/>
    </row>
    <row r="80" spans="2:6" s="401" customFormat="1">
      <c r="B80" s="270">
        <v>423</v>
      </c>
      <c r="C80" s="271" t="s">
        <v>93</v>
      </c>
      <c r="D80" s="311">
        <f>SUM(D81:D87)</f>
        <v>0</v>
      </c>
      <c r="E80" s="267"/>
      <c r="F80" s="400"/>
    </row>
    <row r="81" spans="2:6" ht="14.25">
      <c r="B81" s="272">
        <v>4231</v>
      </c>
      <c r="C81" s="273" t="s">
        <v>526</v>
      </c>
      <c r="D81" s="403"/>
      <c r="E81" s="274"/>
    </row>
    <row r="82" spans="2:6" ht="14.25">
      <c r="B82" s="272">
        <v>4232</v>
      </c>
      <c r="C82" s="273" t="s">
        <v>527</v>
      </c>
      <c r="D82" s="403"/>
      <c r="E82" s="274"/>
    </row>
    <row r="83" spans="2:6" ht="14.25">
      <c r="B83" s="272">
        <v>4233</v>
      </c>
      <c r="C83" s="273" t="s">
        <v>528</v>
      </c>
      <c r="D83" s="403"/>
      <c r="E83" s="274"/>
    </row>
    <row r="84" spans="2:6" ht="14.25">
      <c r="B84" s="272">
        <v>4234</v>
      </c>
      <c r="C84" s="273" t="s">
        <v>39</v>
      </c>
      <c r="D84" s="403"/>
      <c r="E84" s="274"/>
    </row>
    <row r="85" spans="2:6" ht="14.25">
      <c r="B85" s="272">
        <v>4235</v>
      </c>
      <c r="C85" s="273" t="s">
        <v>529</v>
      </c>
      <c r="D85" s="403"/>
      <c r="E85" s="274"/>
    </row>
    <row r="86" spans="2:6" ht="14.25">
      <c r="B86" s="272">
        <v>4236</v>
      </c>
      <c r="C86" s="273" t="s">
        <v>530</v>
      </c>
      <c r="D86" s="403"/>
      <c r="E86" s="274"/>
    </row>
    <row r="87" spans="2:6" ht="14.25">
      <c r="B87" s="272">
        <v>4237</v>
      </c>
      <c r="C87" s="273" t="s">
        <v>531</v>
      </c>
      <c r="D87" s="403"/>
      <c r="E87" s="274"/>
    </row>
    <row r="88" spans="2:6" s="401" customFormat="1">
      <c r="B88" s="270">
        <v>424</v>
      </c>
      <c r="C88" s="271" t="s">
        <v>95</v>
      </c>
      <c r="D88" s="311">
        <f>SUM(D89:D90)</f>
        <v>0</v>
      </c>
      <c r="E88" s="267"/>
      <c r="F88" s="400"/>
    </row>
    <row r="89" spans="2:6" ht="14.25">
      <c r="B89" s="272">
        <v>4241</v>
      </c>
      <c r="C89" s="273" t="s">
        <v>532</v>
      </c>
      <c r="D89" s="403"/>
      <c r="E89" s="274"/>
    </row>
    <row r="90" spans="2:6" ht="14.25">
      <c r="B90" s="272">
        <v>4242</v>
      </c>
      <c r="C90" s="273" t="s">
        <v>533</v>
      </c>
      <c r="D90" s="403"/>
      <c r="E90" s="274"/>
    </row>
    <row r="91" spans="2:6" s="401" customFormat="1">
      <c r="B91" s="270">
        <v>425</v>
      </c>
      <c r="C91" s="271" t="s">
        <v>451</v>
      </c>
      <c r="D91" s="311">
        <f>SUM(D92:D94)</f>
        <v>0</v>
      </c>
      <c r="E91" s="267"/>
      <c r="F91" s="400"/>
    </row>
    <row r="92" spans="2:6" ht="14.25">
      <c r="B92" s="272">
        <v>4251</v>
      </c>
      <c r="C92" s="273" t="s">
        <v>534</v>
      </c>
      <c r="D92" s="403"/>
      <c r="E92" s="274"/>
    </row>
    <row r="93" spans="2:6" ht="14.25">
      <c r="B93" s="272">
        <v>4252</v>
      </c>
      <c r="C93" s="273" t="s">
        <v>535</v>
      </c>
      <c r="D93" s="403"/>
      <c r="E93" s="274"/>
    </row>
    <row r="94" spans="2:6" ht="14.25">
      <c r="B94" s="272">
        <v>4253</v>
      </c>
      <c r="C94" s="273" t="s">
        <v>536</v>
      </c>
      <c r="D94" s="403"/>
      <c r="E94" s="274"/>
    </row>
    <row r="95" spans="2:6" s="401" customFormat="1">
      <c r="B95" s="268">
        <v>43</v>
      </c>
      <c r="C95" s="269" t="s">
        <v>452</v>
      </c>
      <c r="D95" s="311">
        <f>D96+D106</f>
        <v>13636880</v>
      </c>
      <c r="E95" s="267"/>
      <c r="F95" s="400"/>
    </row>
    <row r="96" spans="2:6" s="401" customFormat="1">
      <c r="B96" s="270">
        <v>431</v>
      </c>
      <c r="C96" s="271" t="s">
        <v>452</v>
      </c>
      <c r="D96" s="311">
        <f>SUM(D97:D105)</f>
        <v>7596780</v>
      </c>
      <c r="E96" s="267"/>
      <c r="F96" s="400"/>
    </row>
    <row r="97" spans="2:6" ht="14.25">
      <c r="B97" s="272">
        <v>4311</v>
      </c>
      <c r="C97" s="273" t="s">
        <v>537</v>
      </c>
      <c r="D97" s="403">
        <v>0</v>
      </c>
      <c r="E97" s="274"/>
    </row>
    <row r="98" spans="2:6" ht="14.25">
      <c r="B98" s="272">
        <v>4312</v>
      </c>
      <c r="C98" s="273" t="s">
        <v>538</v>
      </c>
      <c r="D98" s="403">
        <v>45000</v>
      </c>
      <c r="E98" s="274"/>
    </row>
    <row r="99" spans="2:6" ht="14.25">
      <c r="B99" s="272">
        <v>4313</v>
      </c>
      <c r="C99" s="273" t="s">
        <v>539</v>
      </c>
      <c r="D99" s="403">
        <v>2097000</v>
      </c>
      <c r="E99" s="274"/>
    </row>
    <row r="100" spans="2:6" ht="14.25">
      <c r="B100" s="272">
        <v>4314</v>
      </c>
      <c r="C100" s="273" t="s">
        <v>104</v>
      </c>
      <c r="D100" s="403">
        <v>242000</v>
      </c>
      <c r="E100" s="274"/>
    </row>
    <row r="101" spans="2:6" ht="14.25">
      <c r="B101" s="272">
        <v>4315</v>
      </c>
      <c r="C101" s="273" t="s">
        <v>540</v>
      </c>
      <c r="D101" s="403">
        <v>655000</v>
      </c>
      <c r="E101" s="274"/>
    </row>
    <row r="102" spans="2:6" ht="14.25">
      <c r="B102" s="272">
        <v>4316</v>
      </c>
      <c r="C102" s="273" t="s">
        <v>541</v>
      </c>
      <c r="D102" s="403">
        <v>305500</v>
      </c>
      <c r="E102" s="274"/>
    </row>
    <row r="103" spans="2:6" ht="14.25">
      <c r="B103" s="272">
        <v>4317</v>
      </c>
      <c r="C103" s="273" t="s">
        <v>542</v>
      </c>
      <c r="D103" s="403"/>
      <c r="E103" s="274"/>
    </row>
    <row r="104" spans="2:6" ht="14.25">
      <c r="B104" s="272">
        <v>4318</v>
      </c>
      <c r="C104" s="273" t="s">
        <v>543</v>
      </c>
      <c r="D104" s="403">
        <v>600200</v>
      </c>
      <c r="E104" s="274"/>
    </row>
    <row r="105" spans="2:6" ht="14.25">
      <c r="B105" s="272">
        <v>4319</v>
      </c>
      <c r="C105" s="277" t="s">
        <v>544</v>
      </c>
      <c r="D105" s="403">
        <v>3652080</v>
      </c>
      <c r="E105" s="274"/>
    </row>
    <row r="106" spans="2:6" s="401" customFormat="1">
      <c r="B106" s="278">
        <v>432</v>
      </c>
      <c r="C106" s="271" t="s">
        <v>453</v>
      </c>
      <c r="D106" s="311">
        <f>SUM(D107:D112)</f>
        <v>6040100</v>
      </c>
      <c r="E106" s="267"/>
      <c r="F106" s="400"/>
    </row>
    <row r="107" spans="2:6" ht="14.25">
      <c r="B107" s="272">
        <v>4321</v>
      </c>
      <c r="C107" s="273" t="s">
        <v>545</v>
      </c>
      <c r="D107" s="403"/>
      <c r="E107" s="274"/>
    </row>
    <row r="108" spans="2:6" ht="14.25">
      <c r="B108" s="272">
        <v>4322</v>
      </c>
      <c r="C108" s="273" t="s">
        <v>546</v>
      </c>
      <c r="D108" s="403"/>
      <c r="E108" s="274"/>
    </row>
    <row r="109" spans="2:6" ht="14.25">
      <c r="B109" s="272">
        <v>4323</v>
      </c>
      <c r="C109" s="273" t="s">
        <v>547</v>
      </c>
      <c r="D109" s="403"/>
      <c r="E109" s="274"/>
    </row>
    <row r="110" spans="2:6" ht="14.25">
      <c r="B110" s="272">
        <v>4324</v>
      </c>
      <c r="C110" s="273" t="s">
        <v>108</v>
      </c>
      <c r="D110" s="403"/>
      <c r="E110" s="274"/>
    </row>
    <row r="111" spans="2:6" ht="14.25">
      <c r="B111" s="272">
        <v>4325</v>
      </c>
      <c r="C111" s="273" t="s">
        <v>548</v>
      </c>
      <c r="D111" s="403"/>
      <c r="E111" s="274"/>
    </row>
    <row r="112" spans="2:6" ht="14.25">
      <c r="B112" s="272">
        <v>4326</v>
      </c>
      <c r="C112" s="273" t="s">
        <v>109</v>
      </c>
      <c r="D112" s="403">
        <v>6040100</v>
      </c>
      <c r="E112" s="274"/>
    </row>
    <row r="113" spans="2:6" s="401" customFormat="1">
      <c r="B113" s="268">
        <v>44</v>
      </c>
      <c r="C113" s="269" t="s">
        <v>281</v>
      </c>
      <c r="D113" s="311">
        <f>+D114</f>
        <v>10359000</v>
      </c>
      <c r="E113" s="267"/>
      <c r="F113" s="400"/>
    </row>
    <row r="114" spans="2:6" s="401" customFormat="1">
      <c r="B114" s="270">
        <v>441</v>
      </c>
      <c r="C114" s="271" t="s">
        <v>281</v>
      </c>
      <c r="D114" s="311">
        <f>SUM(D115:D123)</f>
        <v>10359000</v>
      </c>
      <c r="E114" s="267"/>
      <c r="F114" s="400"/>
    </row>
    <row r="115" spans="2:6" ht="14.25">
      <c r="B115" s="272">
        <v>4411</v>
      </c>
      <c r="C115" s="273" t="s">
        <v>549</v>
      </c>
      <c r="D115" s="403"/>
      <c r="E115" s="274"/>
    </row>
    <row r="116" spans="2:6" ht="14.25">
      <c r="B116" s="272">
        <v>4412</v>
      </c>
      <c r="C116" s="273" t="s">
        <v>550</v>
      </c>
      <c r="D116" s="403">
        <v>3490000</v>
      </c>
      <c r="E116" s="274"/>
    </row>
    <row r="117" spans="2:6" ht="14.25">
      <c r="B117" s="272">
        <v>4413</v>
      </c>
      <c r="C117" s="273" t="s">
        <v>551</v>
      </c>
      <c r="D117" s="403">
        <v>570000</v>
      </c>
      <c r="E117" s="274"/>
    </row>
    <row r="118" spans="2:6" ht="14.25">
      <c r="B118" s="272">
        <v>4414</v>
      </c>
      <c r="C118" s="273" t="s">
        <v>552</v>
      </c>
      <c r="D118" s="403">
        <v>100000</v>
      </c>
      <c r="E118" s="274"/>
    </row>
    <row r="119" spans="2:6" ht="14.25">
      <c r="B119" s="272">
        <v>4415</v>
      </c>
      <c r="C119" s="273" t="s">
        <v>553</v>
      </c>
      <c r="D119" s="403">
        <v>1521000</v>
      </c>
      <c r="E119" s="274"/>
    </row>
    <row r="120" spans="2:6" ht="14.25">
      <c r="B120" s="272">
        <v>4416</v>
      </c>
      <c r="C120" s="273" t="s">
        <v>554</v>
      </c>
      <c r="D120" s="403">
        <v>4668000</v>
      </c>
      <c r="E120" s="274"/>
    </row>
    <row r="121" spans="2:6" ht="14.25">
      <c r="B121" s="272">
        <v>4417</v>
      </c>
      <c r="C121" s="273" t="s">
        <v>555</v>
      </c>
      <c r="D121" s="403"/>
      <c r="E121" s="274"/>
    </row>
    <row r="122" spans="2:6" ht="14.25">
      <c r="B122" s="272">
        <v>4418</v>
      </c>
      <c r="C122" s="279" t="s">
        <v>556</v>
      </c>
      <c r="D122" s="403"/>
      <c r="E122" s="274"/>
    </row>
    <row r="123" spans="2:6" ht="14.25">
      <c r="B123" s="272">
        <v>4419</v>
      </c>
      <c r="C123" s="279" t="s">
        <v>557</v>
      </c>
      <c r="D123" s="403">
        <v>10000</v>
      </c>
      <c r="E123" s="274"/>
    </row>
    <row r="124" spans="2:6" s="401" customFormat="1">
      <c r="B124" s="268">
        <v>45</v>
      </c>
      <c r="C124" s="269" t="s">
        <v>558</v>
      </c>
      <c r="D124" s="311">
        <f>+D125</f>
        <v>0</v>
      </c>
      <c r="E124" s="267"/>
      <c r="F124" s="400"/>
    </row>
    <row r="125" spans="2:6" s="401" customFormat="1">
      <c r="B125" s="270">
        <v>451</v>
      </c>
      <c r="C125" s="271" t="s">
        <v>111</v>
      </c>
      <c r="D125" s="311">
        <f>SUM(D126:D130)</f>
        <v>0</v>
      </c>
      <c r="E125" s="267"/>
      <c r="F125" s="400"/>
    </row>
    <row r="126" spans="2:6" ht="14.25">
      <c r="B126" s="272">
        <v>4511</v>
      </c>
      <c r="C126" s="273" t="s">
        <v>559</v>
      </c>
      <c r="D126" s="403"/>
      <c r="E126" s="274"/>
    </row>
    <row r="127" spans="2:6" ht="14.25">
      <c r="B127" s="272">
        <v>4512</v>
      </c>
      <c r="C127" s="273" t="s">
        <v>560</v>
      </c>
      <c r="D127" s="403"/>
      <c r="E127" s="274"/>
    </row>
    <row r="128" spans="2:6" ht="14.25">
      <c r="B128" s="272">
        <v>4513</v>
      </c>
      <c r="C128" s="273" t="s">
        <v>561</v>
      </c>
      <c r="D128" s="403"/>
      <c r="E128" s="274"/>
    </row>
    <row r="129" spans="2:6" ht="14.25">
      <c r="B129" s="272">
        <v>4514</v>
      </c>
      <c r="C129" s="273" t="s">
        <v>562</v>
      </c>
      <c r="D129" s="403"/>
      <c r="E129" s="274"/>
    </row>
    <row r="130" spans="2:6" ht="14.25">
      <c r="B130" s="272">
        <v>4515</v>
      </c>
      <c r="C130" s="273" t="s">
        <v>563</v>
      </c>
      <c r="D130" s="403"/>
      <c r="E130" s="274"/>
    </row>
    <row r="131" spans="2:6" s="401" customFormat="1">
      <c r="B131" s="268">
        <v>46</v>
      </c>
      <c r="C131" s="269" t="s">
        <v>564</v>
      </c>
      <c r="D131" s="311">
        <f>+D132+D139+D142</f>
        <v>3626000</v>
      </c>
      <c r="E131" s="267"/>
      <c r="F131" s="400"/>
    </row>
    <row r="132" spans="2:6" s="401" customFormat="1">
      <c r="B132" s="270">
        <v>461</v>
      </c>
      <c r="C132" s="271" t="s">
        <v>0</v>
      </c>
      <c r="D132" s="311">
        <f>D133+D136</f>
        <v>1226000</v>
      </c>
      <c r="E132" s="267"/>
      <c r="F132" s="400"/>
    </row>
    <row r="133" spans="2:6" ht="14.25">
      <c r="B133" s="272">
        <v>4611</v>
      </c>
      <c r="C133" s="273" t="s">
        <v>565</v>
      </c>
      <c r="D133" s="402">
        <f>D134+D135</f>
        <v>528000</v>
      </c>
      <c r="E133" s="274"/>
    </row>
    <row r="134" spans="2:6" ht="14.25">
      <c r="B134" s="385"/>
      <c r="C134" s="386" t="s">
        <v>608</v>
      </c>
      <c r="D134" s="395">
        <v>528000</v>
      </c>
      <c r="E134" s="274"/>
    </row>
    <row r="135" spans="2:6" ht="14.25">
      <c r="B135" s="385"/>
      <c r="C135" s="386" t="s">
        <v>609</v>
      </c>
      <c r="D135" s="395"/>
      <c r="E135" s="274"/>
    </row>
    <row r="136" spans="2:6" ht="14.25">
      <c r="B136" s="272">
        <v>4612</v>
      </c>
      <c r="C136" s="273" t="s">
        <v>566</v>
      </c>
      <c r="D136" s="402">
        <f>D137+D138</f>
        <v>698000</v>
      </c>
      <c r="E136" s="274"/>
    </row>
    <row r="137" spans="2:6" ht="14.25">
      <c r="B137" s="272"/>
      <c r="C137" s="386" t="s">
        <v>610</v>
      </c>
      <c r="D137" s="395">
        <v>698000</v>
      </c>
      <c r="E137" s="274"/>
    </row>
    <row r="138" spans="2:6" ht="14.25">
      <c r="B138" s="272"/>
      <c r="C138" s="386" t="s">
        <v>611</v>
      </c>
      <c r="D138" s="395"/>
      <c r="E138" s="274"/>
    </row>
    <row r="139" spans="2:6" s="401" customFormat="1">
      <c r="B139" s="270">
        <v>462</v>
      </c>
      <c r="C139" s="271" t="s">
        <v>113</v>
      </c>
      <c r="D139" s="311">
        <f>SUM(D140:D141)</f>
        <v>0</v>
      </c>
      <c r="E139" s="267"/>
      <c r="F139" s="400"/>
    </row>
    <row r="140" spans="2:6" ht="14.25">
      <c r="B140" s="272">
        <v>4621</v>
      </c>
      <c r="C140" s="273" t="s">
        <v>567</v>
      </c>
      <c r="D140" s="403"/>
      <c r="E140" s="274"/>
    </row>
    <row r="141" spans="2:6" ht="14.25">
      <c r="B141" s="272">
        <v>4622</v>
      </c>
      <c r="C141" s="273" t="s">
        <v>568</v>
      </c>
      <c r="D141" s="403"/>
      <c r="E141" s="274"/>
    </row>
    <row r="142" spans="2:6" s="401" customFormat="1">
      <c r="B142" s="270">
        <v>463</v>
      </c>
      <c r="C142" s="271" t="s">
        <v>116</v>
      </c>
      <c r="D142" s="311">
        <f>+D143</f>
        <v>2400000</v>
      </c>
      <c r="E142" s="267"/>
      <c r="F142" s="400"/>
    </row>
    <row r="143" spans="2:6" ht="14.25">
      <c r="B143" s="272">
        <v>4630</v>
      </c>
      <c r="C143" s="273" t="s">
        <v>116</v>
      </c>
      <c r="D143" s="402">
        <f>D144+D145</f>
        <v>2400000</v>
      </c>
      <c r="E143" s="274"/>
    </row>
    <row r="144" spans="2:6" ht="14.25">
      <c r="B144" s="272"/>
      <c r="C144" s="386" t="s">
        <v>615</v>
      </c>
      <c r="D144" s="395">
        <v>1080983</v>
      </c>
      <c r="E144" s="274"/>
    </row>
    <row r="145" spans="2:6" ht="14.25">
      <c r="B145" s="272"/>
      <c r="C145" s="386" t="s">
        <v>616</v>
      </c>
      <c r="D145" s="395">
        <v>1319017</v>
      </c>
      <c r="E145" s="274"/>
    </row>
    <row r="146" spans="2:6" s="401" customFormat="1">
      <c r="B146" s="268">
        <v>47</v>
      </c>
      <c r="C146" s="280" t="s">
        <v>118</v>
      </c>
      <c r="D146" s="311">
        <f>+D147+D148+D149</f>
        <v>810000</v>
      </c>
      <c r="E146" s="267"/>
      <c r="F146" s="400"/>
    </row>
    <row r="147" spans="2:6" ht="14.25">
      <c r="B147" s="288">
        <v>471</v>
      </c>
      <c r="C147" s="281" t="s">
        <v>569</v>
      </c>
      <c r="D147" s="404">
        <v>800000</v>
      </c>
      <c r="E147" s="274"/>
    </row>
    <row r="148" spans="2:6" ht="14.25">
      <c r="B148" s="282">
        <v>472</v>
      </c>
      <c r="C148" s="283" t="s">
        <v>570</v>
      </c>
      <c r="D148" s="405">
        <v>10000</v>
      </c>
      <c r="E148" s="274"/>
    </row>
    <row r="149" spans="2:6" ht="15" thickBot="1">
      <c r="B149" s="284">
        <v>473</v>
      </c>
      <c r="C149" s="285" t="s">
        <v>571</v>
      </c>
      <c r="D149" s="406"/>
      <c r="E149" s="274"/>
    </row>
    <row r="150" spans="2:6" ht="14.25" thickTop="1">
      <c r="B150" s="286"/>
      <c r="C150" s="287"/>
    </row>
    <row r="151" spans="2:6" ht="14.25">
      <c r="B151" s="366" t="s">
        <v>617</v>
      </c>
      <c r="C151" s="287"/>
    </row>
  </sheetData>
  <sheetProtection algorithmName="SHA-512" hashValue="AGR1+iEsdjJrMYfDsI3893+KKJdbcwQGLjaWvQb/R8ua9bl+y4B0YKzLI23ePcdJwdCQaRsy0/dUNFHtQjHgYQ==" saltValue="TAa6ppmGDJFHliNXh9JLVA==" spinCount="100000" sheet="1" objects="1" scenarios="1"/>
  <mergeCells count="3">
    <mergeCell ref="D3:D4"/>
    <mergeCell ref="B3:B4"/>
    <mergeCell ref="C3:C4"/>
  </mergeCells>
  <pageMargins left="0.70866141732283472" right="0.70866141732283472" top="0.74803149606299213" bottom="0.74803149606299213"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48A4-4F07-4C65-8760-2746F112B929}">
  <sheetPr>
    <tabColor theme="4" tint="0.39997558519241921"/>
  </sheetPr>
  <dimension ref="A1:G179"/>
  <sheetViews>
    <sheetView showGridLines="0" tabSelected="1" topLeftCell="A49" zoomScale="85" zoomScaleNormal="85" workbookViewId="0">
      <selection activeCell="E73" sqref="E73"/>
    </sheetView>
  </sheetViews>
  <sheetFormatPr defaultColWidth="9.140625" defaultRowHeight="12.75"/>
  <cols>
    <col min="1" max="2" width="3" style="289" customWidth="1"/>
    <col min="3" max="3" width="7.5703125" style="290" customWidth="1"/>
    <col min="4" max="4" width="62.7109375" style="293" customWidth="1"/>
    <col min="5" max="5" width="18.7109375" style="293" customWidth="1"/>
    <col min="6" max="6" width="10.42578125" style="293" customWidth="1"/>
    <col min="7" max="7" width="9.140625" style="289"/>
    <col min="8" max="16384" width="9.140625" style="293"/>
  </cols>
  <sheetData>
    <row r="1" spans="3:7" s="289" customFormat="1" ht="13.5" thickBot="1">
      <c r="C1" s="290"/>
      <c r="D1" s="291"/>
      <c r="E1" s="292"/>
      <c r="F1" s="292"/>
    </row>
    <row r="2" spans="3:7" ht="17.25" thickTop="1" thickBot="1">
      <c r="D2" s="318" t="s">
        <v>625</v>
      </c>
      <c r="E2" s="469">
        <v>6901900000</v>
      </c>
      <c r="F2" s="469"/>
    </row>
    <row r="3" spans="3:7" s="289" customFormat="1" ht="14.25" thickTop="1" thickBot="1">
      <c r="C3" s="294"/>
      <c r="D3" s="291"/>
      <c r="E3" s="470"/>
      <c r="F3" s="470"/>
    </row>
    <row r="4" spans="3:7" ht="28.9" customHeight="1" thickTop="1">
      <c r="C4" s="295"/>
      <c r="D4" s="471" t="s">
        <v>585</v>
      </c>
      <c r="E4" s="473">
        <v>2025</v>
      </c>
      <c r="F4" s="474"/>
    </row>
    <row r="5" spans="3:7" ht="13.5" thickBot="1">
      <c r="D5" s="472" t="s">
        <v>127</v>
      </c>
      <c r="E5" s="314" t="s">
        <v>263</v>
      </c>
      <c r="F5" s="315" t="s">
        <v>150</v>
      </c>
    </row>
    <row r="6" spans="3:7" ht="13.5" thickTop="1">
      <c r="D6" s="313" t="s">
        <v>128</v>
      </c>
      <c r="E6" s="334">
        <f>E7+E16+E21+E28+E38+E44</f>
        <v>30470501.120000001</v>
      </c>
      <c r="F6" s="324">
        <f t="shared" ref="F6:F72" si="0">E6/$E$2*100</f>
        <v>0.44147989857865227</v>
      </c>
      <c r="G6" s="296"/>
    </row>
    <row r="7" spans="3:7">
      <c r="D7" s="297" t="s">
        <v>2</v>
      </c>
      <c r="E7" s="335">
        <f>SUM(E8:E15)</f>
        <v>17619600</v>
      </c>
      <c r="F7" s="325">
        <f t="shared" si="0"/>
        <v>0.25528622553209984</v>
      </c>
      <c r="G7" s="296"/>
    </row>
    <row r="8" spans="3:7">
      <c r="C8" s="290">
        <v>7111</v>
      </c>
      <c r="D8" s="298" t="s">
        <v>3</v>
      </c>
      <c r="E8" s="336">
        <f>VLOOKUP(C8,'PRIHODI ekon klas'!$B$4:$D$92,3,FALSE)</f>
        <v>8529600</v>
      </c>
      <c r="F8" s="326">
        <f t="shared" si="0"/>
        <v>0.12358336110346425</v>
      </c>
      <c r="G8" s="296"/>
    </row>
    <row r="9" spans="3:7">
      <c r="C9" s="290">
        <v>7112</v>
      </c>
      <c r="D9" s="298" t="s">
        <v>5</v>
      </c>
      <c r="E9" s="336">
        <f>VLOOKUP(C9,'PRIHODI ekon klas'!$B$4:$D$92,3,FALSE)</f>
        <v>0</v>
      </c>
      <c r="F9" s="326">
        <f t="shared" si="0"/>
        <v>0</v>
      </c>
      <c r="G9" s="299"/>
    </row>
    <row r="10" spans="3:7">
      <c r="C10" s="290">
        <v>7113</v>
      </c>
      <c r="D10" s="298" t="s">
        <v>305</v>
      </c>
      <c r="E10" s="336">
        <f>VLOOKUP(C10,'PRIHODI ekon klas'!$B$4:$D$92,3,FALSE)</f>
        <v>7240000</v>
      </c>
      <c r="F10" s="326">
        <f t="shared" si="0"/>
        <v>0.10489865109607499</v>
      </c>
      <c r="G10" s="300"/>
    </row>
    <row r="11" spans="3:7">
      <c r="C11" s="290">
        <v>7114</v>
      </c>
      <c r="D11" s="298" t="s">
        <v>9</v>
      </c>
      <c r="E11" s="336">
        <f>VLOOKUP(C11,'PRIHODI ekon klas'!$B$4:$D$92,3,FALSE)</f>
        <v>0</v>
      </c>
      <c r="F11" s="326">
        <f t="shared" si="0"/>
        <v>0</v>
      </c>
    </row>
    <row r="12" spans="3:7">
      <c r="C12" s="290">
        <v>7115</v>
      </c>
      <c r="D12" s="298" t="s">
        <v>12</v>
      </c>
      <c r="E12" s="336">
        <f>VLOOKUP(C12,'PRIHODI ekon klas'!$B$4:$D$92,3,FALSE)</f>
        <v>0</v>
      </c>
      <c r="F12" s="326">
        <f t="shared" si="0"/>
        <v>0</v>
      </c>
      <c r="G12" s="299"/>
    </row>
    <row r="13" spans="3:7">
      <c r="C13" s="290">
        <v>7116</v>
      </c>
      <c r="D13" s="298" t="s">
        <v>14</v>
      </c>
      <c r="E13" s="336">
        <f>VLOOKUP(C13,'PRIHODI ekon klas'!$B$4:$D$92,3,FALSE)</f>
        <v>0</v>
      </c>
      <c r="F13" s="326">
        <f t="shared" si="0"/>
        <v>0</v>
      </c>
    </row>
    <row r="14" spans="3:7">
      <c r="C14" s="290">
        <v>7117</v>
      </c>
      <c r="D14" s="298" t="s">
        <v>11</v>
      </c>
      <c r="E14" s="336">
        <f>VLOOKUP(C14,'PRIHODI ekon klas'!$B$4:$D$92,3,FALSE)</f>
        <v>1850000</v>
      </c>
      <c r="F14" s="326">
        <f t="shared" ref="F14" si="1">E14/$E$2*100</f>
        <v>2.6804213332560601E-2</v>
      </c>
    </row>
    <row r="15" spans="3:7">
      <c r="C15" s="290">
        <v>7118</v>
      </c>
      <c r="D15" s="298" t="s">
        <v>582</v>
      </c>
      <c r="E15" s="336">
        <f>VLOOKUP(C15,'PRIHODI ekon klas'!$B$4:$D$92,3,FALSE)</f>
        <v>0</v>
      </c>
      <c r="F15" s="326">
        <f t="shared" si="0"/>
        <v>0</v>
      </c>
    </row>
    <row r="16" spans="3:7">
      <c r="C16" s="290">
        <v>712</v>
      </c>
      <c r="D16" s="297" t="s">
        <v>19</v>
      </c>
      <c r="E16" s="337">
        <f>SUM(E17:E20)</f>
        <v>0</v>
      </c>
      <c r="F16" s="325">
        <f t="shared" si="0"/>
        <v>0</v>
      </c>
      <c r="G16" s="296"/>
    </row>
    <row r="17" spans="3:7">
      <c r="C17" s="290">
        <v>7121</v>
      </c>
      <c r="D17" s="298" t="s">
        <v>21</v>
      </c>
      <c r="E17" s="336">
        <f>VLOOKUP(C17,'PRIHODI ekon klas'!$B$4:$D$92,3,FALSE)</f>
        <v>0</v>
      </c>
      <c r="F17" s="326">
        <f t="shared" si="0"/>
        <v>0</v>
      </c>
      <c r="G17" s="296"/>
    </row>
    <row r="18" spans="3:7">
      <c r="C18" s="290">
        <v>7122</v>
      </c>
      <c r="D18" s="298" t="s">
        <v>23</v>
      </c>
      <c r="E18" s="336">
        <f>VLOOKUP(C18,'PRIHODI ekon klas'!$B$4:$D$92,3,FALSE)</f>
        <v>0</v>
      </c>
      <c r="F18" s="326">
        <f t="shared" si="0"/>
        <v>0</v>
      </c>
      <c r="G18" s="296"/>
    </row>
    <row r="19" spans="3:7">
      <c r="C19" s="290">
        <v>7123</v>
      </c>
      <c r="D19" s="298" t="s">
        <v>25</v>
      </c>
      <c r="E19" s="336">
        <f>VLOOKUP(C19,'PRIHODI ekon klas'!$B$4:$D$92,3,FALSE)</f>
        <v>0</v>
      </c>
      <c r="F19" s="326">
        <f t="shared" si="0"/>
        <v>0</v>
      </c>
      <c r="G19" s="296"/>
    </row>
    <row r="20" spans="3:7">
      <c r="C20" s="290">
        <v>7124</v>
      </c>
      <c r="D20" s="298" t="s">
        <v>27</v>
      </c>
      <c r="E20" s="336">
        <f>VLOOKUP(C20,'PRIHODI ekon klas'!$B$4:$D$92,3,FALSE)</f>
        <v>0</v>
      </c>
      <c r="F20" s="326">
        <f t="shared" si="0"/>
        <v>0</v>
      </c>
    </row>
    <row r="21" spans="3:7">
      <c r="C21" s="290">
        <v>713</v>
      </c>
      <c r="D21" s="297" t="s">
        <v>29</v>
      </c>
      <c r="E21" s="337">
        <f>SUM(E22:E27)</f>
        <v>227601.12</v>
      </c>
      <c r="F21" s="325">
        <f t="shared" si="0"/>
        <v>3.2976589055187704E-3</v>
      </c>
      <c r="G21" s="296"/>
    </row>
    <row r="22" spans="3:7">
      <c r="C22" s="290">
        <v>7131</v>
      </c>
      <c r="D22" s="298" t="s">
        <v>31</v>
      </c>
      <c r="E22" s="336">
        <f>VLOOKUP(C22,'PRIHODI ekon klas'!$B$4:$D$92,3,FALSE)</f>
        <v>85000</v>
      </c>
      <c r="F22" s="326">
        <f t="shared" si="0"/>
        <v>1.231544936901433E-3</v>
      </c>
      <c r="G22" s="299"/>
    </row>
    <row r="23" spans="3:7">
      <c r="C23" s="290">
        <v>7132</v>
      </c>
      <c r="D23" s="298" t="s">
        <v>32</v>
      </c>
      <c r="E23" s="336">
        <f>VLOOKUP(C23,'PRIHODI ekon klas'!$B$4:$D$92,3,FALSE)</f>
        <v>0</v>
      </c>
      <c r="F23" s="326">
        <f t="shared" si="0"/>
        <v>0</v>
      </c>
    </row>
    <row r="24" spans="3:7">
      <c r="C24" s="290">
        <v>7133</v>
      </c>
      <c r="D24" s="298" t="s">
        <v>34</v>
      </c>
      <c r="E24" s="336">
        <f>VLOOKUP(C24,'PRIHODI ekon klas'!$B$4:$D$92,3,FALSE)</f>
        <v>0</v>
      </c>
      <c r="F24" s="326">
        <f t="shared" si="0"/>
        <v>0</v>
      </c>
    </row>
    <row r="25" spans="3:7">
      <c r="C25" s="290">
        <v>7134</v>
      </c>
      <c r="D25" s="298" t="s">
        <v>572</v>
      </c>
      <c r="E25" s="336">
        <f>VLOOKUP(C25,'PRIHODI ekon klas'!$B$4:$D$92,3,FALSE)</f>
        <v>0</v>
      </c>
      <c r="F25" s="326">
        <f t="shared" si="0"/>
        <v>0</v>
      </c>
    </row>
    <row r="26" spans="3:7">
      <c r="C26" s="290">
        <v>7135</v>
      </c>
      <c r="D26" s="298" t="s">
        <v>36</v>
      </c>
      <c r="E26" s="336">
        <f>VLOOKUP(C26,'PRIHODI ekon klas'!$B$4:$D$92,3,FALSE)</f>
        <v>142601.12</v>
      </c>
      <c r="F26" s="326">
        <f t="shared" ref="F26" si="2">E26/$E$2*100</f>
        <v>2.066113968617337E-3</v>
      </c>
    </row>
    <row r="27" spans="3:7">
      <c r="C27" s="290">
        <v>7136</v>
      </c>
      <c r="D27" s="298" t="s">
        <v>37</v>
      </c>
      <c r="E27" s="336">
        <f>VLOOKUP(C27,'PRIHODI ekon klas'!$B$4:$D$92,3,FALSE)</f>
        <v>0</v>
      </c>
      <c r="F27" s="326">
        <f t="shared" si="0"/>
        <v>0</v>
      </c>
      <c r="G27" s="299"/>
    </row>
    <row r="28" spans="3:7">
      <c r="C28" s="290">
        <v>714</v>
      </c>
      <c r="D28" s="297" t="s">
        <v>39</v>
      </c>
      <c r="E28" s="337">
        <f>SUM(E29:E37)</f>
        <v>4330200</v>
      </c>
      <c r="F28" s="325">
        <f t="shared" si="0"/>
        <v>6.2739245714948058E-2</v>
      </c>
      <c r="G28" s="299"/>
    </row>
    <row r="29" spans="3:7">
      <c r="C29" s="290">
        <v>7141</v>
      </c>
      <c r="D29" s="298" t="s">
        <v>40</v>
      </c>
      <c r="E29" s="336">
        <f>VLOOKUP(C29,'PRIHODI ekon klas'!$B$4:$D$92,3,FALSE)</f>
        <v>2090100</v>
      </c>
      <c r="F29" s="326">
        <f t="shared" si="0"/>
        <v>3.0282965560208062E-2</v>
      </c>
      <c r="G29" s="296"/>
    </row>
    <row r="30" spans="3:7">
      <c r="C30" s="290">
        <v>7142</v>
      </c>
      <c r="D30" s="298" t="s">
        <v>42</v>
      </c>
      <c r="E30" s="336">
        <f>VLOOKUP(C30,'PRIHODI ekon klas'!$B$4:$D$92,3,FALSE)</f>
        <v>600100</v>
      </c>
      <c r="F30" s="326">
        <f t="shared" si="0"/>
        <v>8.6947072545241165E-3</v>
      </c>
      <c r="G30" s="296"/>
    </row>
    <row r="31" spans="3:7">
      <c r="C31" s="290">
        <v>7143</v>
      </c>
      <c r="D31" s="298" t="s">
        <v>45</v>
      </c>
      <c r="E31" s="336">
        <f>VLOOKUP(C31,'PRIHODI ekon klas'!$B$4:$D$92,3,FALSE)</f>
        <v>0</v>
      </c>
      <c r="F31" s="326">
        <f t="shared" si="0"/>
        <v>0</v>
      </c>
    </row>
    <row r="32" spans="3:7">
      <c r="C32" s="290">
        <v>7144</v>
      </c>
      <c r="D32" s="298" t="s">
        <v>47</v>
      </c>
      <c r="E32" s="336">
        <f>VLOOKUP(C32,'PRIHODI ekon klas'!$B$4:$D$92,3,FALSE)</f>
        <v>0</v>
      </c>
      <c r="F32" s="326">
        <f t="shared" si="0"/>
        <v>0</v>
      </c>
    </row>
    <row r="33" spans="1:7">
      <c r="C33" s="290">
        <v>7145</v>
      </c>
      <c r="D33" s="298" t="s">
        <v>44</v>
      </c>
      <c r="E33" s="336">
        <f>VLOOKUP(C33,'PRIHODI ekon klas'!$B$4:$D$92,3,FALSE)</f>
        <v>0</v>
      </c>
      <c r="F33" s="326">
        <f t="shared" si="0"/>
        <v>0</v>
      </c>
    </row>
    <row r="34" spans="1:7">
      <c r="C34" s="290">
        <v>7146</v>
      </c>
      <c r="D34" s="298" t="s">
        <v>573</v>
      </c>
      <c r="E34" s="336">
        <f>VLOOKUP(C34,'PRIHODI ekon klas'!$B$4:$D$92,3,FALSE)</f>
        <v>530000</v>
      </c>
      <c r="F34" s="326">
        <f t="shared" si="0"/>
        <v>7.6790449006795235E-3</v>
      </c>
    </row>
    <row r="35" spans="1:7">
      <c r="C35" s="290">
        <v>7147</v>
      </c>
      <c r="D35" s="298" t="s">
        <v>454</v>
      </c>
      <c r="E35" s="336">
        <f>VLOOKUP(C35,'PRIHODI ekon klas'!$B$4:$D$92,3,FALSE)</f>
        <v>0</v>
      </c>
      <c r="F35" s="326">
        <f t="shared" ref="F35" si="3">E35/$E$2*100</f>
        <v>0</v>
      </c>
    </row>
    <row r="36" spans="1:7">
      <c r="C36" s="290">
        <v>7148</v>
      </c>
      <c r="D36" s="298" t="s">
        <v>50</v>
      </c>
      <c r="E36" s="336">
        <f>VLOOKUP(C36,'PRIHODI ekon klas'!$B$4:$D$92,3,FALSE)</f>
        <v>1080000</v>
      </c>
      <c r="F36" s="326">
        <f t="shared" si="0"/>
        <v>1.5647865080629972E-2</v>
      </c>
    </row>
    <row r="37" spans="1:7">
      <c r="C37" s="290">
        <v>7149</v>
      </c>
      <c r="D37" s="298" t="s">
        <v>51</v>
      </c>
      <c r="E37" s="336">
        <f>VLOOKUP(C37,'PRIHODI ekon klas'!$B$4:$D$92,3,FALSE)</f>
        <v>30000</v>
      </c>
      <c r="F37" s="326">
        <f t="shared" si="0"/>
        <v>4.3466291890638804E-4</v>
      </c>
    </row>
    <row r="38" spans="1:7">
      <c r="C38" s="290">
        <v>715</v>
      </c>
      <c r="D38" s="297" t="s">
        <v>53</v>
      </c>
      <c r="E38" s="337">
        <f>SUM(E39:E43)</f>
        <v>823100</v>
      </c>
      <c r="F38" s="325">
        <f t="shared" si="0"/>
        <v>1.1925701618394935E-2</v>
      </c>
    </row>
    <row r="39" spans="1:7">
      <c r="C39" s="290">
        <v>7151</v>
      </c>
      <c r="D39" s="298" t="s">
        <v>55</v>
      </c>
      <c r="E39" s="336">
        <f>VLOOKUP(C39,'PRIHODI ekon klas'!$B$4:$D$92,3,FALSE)</f>
        <v>100</v>
      </c>
      <c r="F39" s="326">
        <f t="shared" si="0"/>
        <v>1.448876396354627E-6</v>
      </c>
    </row>
    <row r="40" spans="1:7">
      <c r="C40" s="290">
        <v>7152</v>
      </c>
      <c r="D40" s="298" t="s">
        <v>57</v>
      </c>
      <c r="E40" s="336">
        <f>VLOOKUP(C40,'PRIHODI ekon klas'!$B$4:$D$92,3,FALSE)</f>
        <v>208000</v>
      </c>
      <c r="F40" s="326">
        <f t="shared" si="0"/>
        <v>3.0136629044176244E-3</v>
      </c>
    </row>
    <row r="41" spans="1:7">
      <c r="C41" s="290">
        <v>7153</v>
      </c>
      <c r="D41" s="298" t="s">
        <v>59</v>
      </c>
      <c r="E41" s="336">
        <f>VLOOKUP(C41,'PRIHODI ekon klas'!$B$4:$D$92,3,FALSE)</f>
        <v>65000</v>
      </c>
      <c r="F41" s="326">
        <f t="shared" si="0"/>
        <v>9.4176965763050752E-4</v>
      </c>
    </row>
    <row r="42" spans="1:7">
      <c r="C42" s="290">
        <v>7154</v>
      </c>
      <c r="D42" s="298" t="s">
        <v>574</v>
      </c>
      <c r="E42" s="336">
        <f>VLOOKUP(C42,'PRIHODI ekon klas'!$B$4:$D$92,3,FALSE)</f>
        <v>0</v>
      </c>
      <c r="F42" s="326">
        <f t="shared" ref="F42" si="4">E42/$E$2*100</f>
        <v>0</v>
      </c>
    </row>
    <row r="43" spans="1:7">
      <c r="C43" s="290">
        <v>7155</v>
      </c>
      <c r="D43" s="298" t="s">
        <v>53</v>
      </c>
      <c r="E43" s="336">
        <f>VLOOKUP(C43,'PRIHODI ekon klas'!$B$4:$D$92,3,FALSE)</f>
        <v>550000</v>
      </c>
      <c r="F43" s="326">
        <f t="shared" si="0"/>
        <v>7.9688201799504484E-3</v>
      </c>
    </row>
    <row r="44" spans="1:7" s="305" customFormat="1">
      <c r="A44" s="301"/>
      <c r="B44" s="302"/>
      <c r="C44" s="303">
        <v>74</v>
      </c>
      <c r="D44" s="304" t="s">
        <v>470</v>
      </c>
      <c r="E44" s="337">
        <f>+E45+E46</f>
        <v>7470000</v>
      </c>
      <c r="F44" s="325">
        <f t="shared" si="0"/>
        <v>0.10823106680769062</v>
      </c>
      <c r="G44" s="301"/>
    </row>
    <row r="45" spans="1:7">
      <c r="C45" s="290">
        <v>741</v>
      </c>
      <c r="D45" s="298" t="s">
        <v>123</v>
      </c>
      <c r="E45" s="336">
        <f>VLOOKUP(C45,'PRIHODI ekon klas'!$B$4:$D$92,3,FALSE)</f>
        <v>270000</v>
      </c>
      <c r="F45" s="326">
        <f t="shared" ref="F45:F46" si="5">E45/$E$2*100</f>
        <v>3.911966270157493E-3</v>
      </c>
    </row>
    <row r="46" spans="1:7" ht="13.5" thickBot="1">
      <c r="C46" s="290">
        <v>742</v>
      </c>
      <c r="D46" s="298" t="s">
        <v>621</v>
      </c>
      <c r="E46" s="336">
        <f>+'PRIHODI ekon klas'!D87+'PRIHODI ekon klas'!D88</f>
        <v>7200000</v>
      </c>
      <c r="F46" s="326">
        <f t="shared" si="5"/>
        <v>0.10431910053753314</v>
      </c>
    </row>
    <row r="47" spans="1:7">
      <c r="D47" s="316" t="s">
        <v>62</v>
      </c>
      <c r="E47" s="338">
        <f>E48+E70+E71+E68</f>
        <v>41904000</v>
      </c>
      <c r="F47" s="327">
        <f t="shared" si="0"/>
        <v>0.60713716512844296</v>
      </c>
    </row>
    <row r="48" spans="1:7">
      <c r="D48" s="317" t="s">
        <v>126</v>
      </c>
      <c r="E48" s="339">
        <f>E49+E59+E65+E69</f>
        <v>29145000</v>
      </c>
      <c r="F48" s="328">
        <f t="shared" si="0"/>
        <v>0.42227502571755604</v>
      </c>
    </row>
    <row r="49" spans="3:6">
      <c r="C49" s="306">
        <v>41</v>
      </c>
      <c r="D49" s="297" t="s">
        <v>63</v>
      </c>
      <c r="E49" s="337">
        <f>SUM(E50:E58)</f>
        <v>12519920</v>
      </c>
      <c r="F49" s="325">
        <f t="shared" si="0"/>
        <v>0.18139816572248221</v>
      </c>
    </row>
    <row r="50" spans="3:6">
      <c r="C50" s="307">
        <v>411</v>
      </c>
      <c r="D50" s="297" t="s">
        <v>64</v>
      </c>
      <c r="E50" s="337">
        <f>VLOOKUP(C50,'RASHODI ekon klas'!$B$5:$D$149,3,FALSE)</f>
        <v>6520370</v>
      </c>
      <c r="F50" s="325">
        <f t="shared" si="0"/>
        <v>9.4472101884988183E-2</v>
      </c>
    </row>
    <row r="51" spans="3:6">
      <c r="C51" s="307">
        <v>412</v>
      </c>
      <c r="D51" s="297" t="s">
        <v>75</v>
      </c>
      <c r="E51" s="337">
        <f>VLOOKUP(C51,'RASHODI ekon klas'!$B$5:$D$149,3,FALSE)</f>
        <v>700400</v>
      </c>
      <c r="F51" s="325">
        <f t="shared" si="0"/>
        <v>1.0147930280067807E-2</v>
      </c>
    </row>
    <row r="52" spans="3:6">
      <c r="C52" s="307">
        <v>413</v>
      </c>
      <c r="D52" s="297" t="s">
        <v>448</v>
      </c>
      <c r="E52" s="337">
        <f>VLOOKUP(C52,'RASHODI ekon klas'!$B$5:$D$149,3,FALSE)</f>
        <v>831550</v>
      </c>
      <c r="F52" s="325">
        <f t="shared" si="0"/>
        <v>1.2048131673886901E-2</v>
      </c>
    </row>
    <row r="53" spans="3:6">
      <c r="C53" s="307">
        <v>414</v>
      </c>
      <c r="D53" s="297" t="s">
        <v>449</v>
      </c>
      <c r="E53" s="337">
        <f>VLOOKUP(C53,'RASHODI ekon klas'!$B$5:$D$149,3,FALSE)</f>
        <v>1112800</v>
      </c>
      <c r="F53" s="325">
        <f t="shared" si="0"/>
        <v>1.612309653863429E-2</v>
      </c>
    </row>
    <row r="54" spans="3:6">
      <c r="C54" s="307">
        <v>415</v>
      </c>
      <c r="D54" s="297" t="s">
        <v>79</v>
      </c>
      <c r="E54" s="337">
        <f>VLOOKUP(C54,'RASHODI ekon klas'!$B$5:$D$149,3,FALSE)</f>
        <v>145000</v>
      </c>
      <c r="F54" s="325">
        <f t="shared" si="0"/>
        <v>2.1008707747142089E-3</v>
      </c>
    </row>
    <row r="55" spans="3:6">
      <c r="C55" s="307">
        <v>416</v>
      </c>
      <c r="D55" s="297" t="s">
        <v>80</v>
      </c>
      <c r="E55" s="337">
        <f>VLOOKUP(C55,'RASHODI ekon klas'!$B$5:$D$149,3,FALSE)</f>
        <v>270000</v>
      </c>
      <c r="F55" s="325">
        <f t="shared" si="0"/>
        <v>3.911966270157493E-3</v>
      </c>
    </row>
    <row r="56" spans="3:6">
      <c r="C56" s="307">
        <v>417</v>
      </c>
      <c r="D56" s="297" t="s">
        <v>82</v>
      </c>
      <c r="E56" s="337">
        <f>VLOOKUP(C56,'RASHODI ekon klas'!$B$5:$D$149,3,FALSE)</f>
        <v>160000</v>
      </c>
      <c r="F56" s="325">
        <f t="shared" si="0"/>
        <v>2.318202234167403E-3</v>
      </c>
    </row>
    <row r="57" spans="3:6">
      <c r="C57" s="307">
        <v>418</v>
      </c>
      <c r="D57" s="297" t="s">
        <v>84</v>
      </c>
      <c r="E57" s="337">
        <f>VLOOKUP(C57,'RASHODI ekon klas'!$B$5:$D$149,3,FALSE)</f>
        <v>810000</v>
      </c>
      <c r="F57" s="325">
        <f t="shared" si="0"/>
        <v>1.1735898810472479E-2</v>
      </c>
    </row>
    <row r="58" spans="3:6">
      <c r="C58" s="307">
        <v>419</v>
      </c>
      <c r="D58" s="297" t="s">
        <v>86</v>
      </c>
      <c r="E58" s="337">
        <f>VLOOKUP(C58,'RASHODI ekon klas'!$B$5:$D$149,3,FALSE)</f>
        <v>1969800</v>
      </c>
      <c r="F58" s="325">
        <f t="shared" si="0"/>
        <v>2.8539967255393442E-2</v>
      </c>
    </row>
    <row r="59" spans="3:6">
      <c r="C59" s="306">
        <v>42</v>
      </c>
      <c r="D59" s="297" t="s">
        <v>87</v>
      </c>
      <c r="E59" s="337">
        <f>SUM(E60:E64)</f>
        <v>2178200</v>
      </c>
      <c r="F59" s="325">
        <f t="shared" si="0"/>
        <v>3.1559425665396483E-2</v>
      </c>
    </row>
    <row r="60" spans="3:6">
      <c r="C60" s="307">
        <v>421</v>
      </c>
      <c r="D60" s="298" t="s">
        <v>89</v>
      </c>
      <c r="E60" s="340">
        <f>VLOOKUP(C60,'RASHODI ekon klas'!$B$5:$D$149,3,FALSE)</f>
        <v>2178200</v>
      </c>
      <c r="F60" s="326">
        <f t="shared" si="0"/>
        <v>3.1559425665396483E-2</v>
      </c>
    </row>
    <row r="61" spans="3:6">
      <c r="C61" s="307">
        <v>422</v>
      </c>
      <c r="D61" s="298" t="s">
        <v>91</v>
      </c>
      <c r="E61" s="340">
        <f>VLOOKUP(C61,'RASHODI ekon klas'!$B$5:$D$149,3,FALSE)</f>
        <v>0</v>
      </c>
      <c r="F61" s="326">
        <f t="shared" si="0"/>
        <v>0</v>
      </c>
    </row>
    <row r="62" spans="3:6">
      <c r="C62" s="307">
        <v>423</v>
      </c>
      <c r="D62" s="298" t="s">
        <v>93</v>
      </c>
      <c r="E62" s="340">
        <f>VLOOKUP(C62,'RASHODI ekon klas'!$B$5:$D$149,3,FALSE)</f>
        <v>0</v>
      </c>
      <c r="F62" s="326">
        <f t="shared" si="0"/>
        <v>0</v>
      </c>
    </row>
    <row r="63" spans="3:6">
      <c r="C63" s="307">
        <v>424</v>
      </c>
      <c r="D63" s="298" t="s">
        <v>95</v>
      </c>
      <c r="E63" s="340">
        <f>VLOOKUP(C63,'RASHODI ekon klas'!$B$5:$D$149,3,FALSE)</f>
        <v>0</v>
      </c>
      <c r="F63" s="326">
        <f t="shared" si="0"/>
        <v>0</v>
      </c>
    </row>
    <row r="64" spans="3:6">
      <c r="C64" s="307">
        <v>425</v>
      </c>
      <c r="D64" s="298" t="s">
        <v>97</v>
      </c>
      <c r="E64" s="340">
        <f>VLOOKUP(C64,'RASHODI ekon klas'!$B$5:$D$149,3,FALSE)</f>
        <v>0</v>
      </c>
      <c r="F64" s="326">
        <f t="shared" si="0"/>
        <v>0</v>
      </c>
    </row>
    <row r="65" spans="3:6">
      <c r="C65" s="306">
        <v>43</v>
      </c>
      <c r="D65" s="304" t="s">
        <v>100</v>
      </c>
      <c r="E65" s="337">
        <f>SUM(E66:E67)</f>
        <v>13636880</v>
      </c>
      <c r="F65" s="325">
        <f t="shared" si="0"/>
        <v>0.19758153551920488</v>
      </c>
    </row>
    <row r="66" spans="3:6">
      <c r="C66" s="307">
        <v>431</v>
      </c>
      <c r="D66" s="298" t="s">
        <v>452</v>
      </c>
      <c r="E66" s="340">
        <f>VLOOKUP(C66,'RASHODI ekon klas'!$B$5:$D$149,3,FALSE)</f>
        <v>7596780</v>
      </c>
      <c r="F66" s="326">
        <f t="shared" si="0"/>
        <v>0.11006795230298902</v>
      </c>
    </row>
    <row r="67" spans="3:6">
      <c r="C67" s="307">
        <v>432</v>
      </c>
      <c r="D67" s="298" t="s">
        <v>453</v>
      </c>
      <c r="E67" s="340">
        <f>VLOOKUP(C67,'RASHODI ekon klas'!$B$5:$D$149,3,FALSE)</f>
        <v>6040100</v>
      </c>
      <c r="F67" s="326">
        <f t="shared" si="0"/>
        <v>8.7513583216215829E-2</v>
      </c>
    </row>
    <row r="68" spans="3:6">
      <c r="C68" s="306">
        <v>44</v>
      </c>
      <c r="D68" s="297" t="s">
        <v>281</v>
      </c>
      <c r="E68" s="337">
        <f>VLOOKUP(C68,'RASHODI ekon klas'!$B$5:$D$149,3,FALSE)-E79</f>
        <v>10359000</v>
      </c>
      <c r="F68" s="325">
        <f>E68/$E$2*100</f>
        <v>0.15008910589837582</v>
      </c>
    </row>
    <row r="69" spans="3:6">
      <c r="C69" s="306">
        <v>47</v>
      </c>
      <c r="D69" s="297" t="s">
        <v>118</v>
      </c>
      <c r="E69" s="337">
        <f>VLOOKUP(C69,'RASHODI ekon klas'!$B$5:$D$149,3,FALSE)</f>
        <v>810000</v>
      </c>
      <c r="F69" s="325">
        <f t="shared" si="0"/>
        <v>1.1735898810472479E-2</v>
      </c>
    </row>
    <row r="70" spans="3:6">
      <c r="C70" s="307">
        <v>462</v>
      </c>
      <c r="D70" s="298" t="s">
        <v>113</v>
      </c>
      <c r="E70" s="340">
        <f>VLOOKUP(C70,'RASHODI ekon klas'!$B$5:$D$149,3,FALSE)</f>
        <v>0</v>
      </c>
      <c r="F70" s="326">
        <f t="shared" si="0"/>
        <v>0</v>
      </c>
    </row>
    <row r="71" spans="3:6" s="289" customFormat="1">
      <c r="C71" s="307">
        <v>463</v>
      </c>
      <c r="D71" s="298" t="s">
        <v>116</v>
      </c>
      <c r="E71" s="340">
        <f>VLOOKUP(C71,'RASHODI ekon klas'!$B$5:$D$149,3,FALSE)</f>
        <v>2400000</v>
      </c>
      <c r="F71" s="326">
        <f t="shared" si="0"/>
        <v>3.4773033512511049E-2</v>
      </c>
    </row>
    <row r="72" spans="3:6" ht="13.5" thickBot="1">
      <c r="D72" s="320" t="s">
        <v>619</v>
      </c>
      <c r="E72" s="407">
        <v>-577396.43999999994</v>
      </c>
      <c r="F72" s="329">
        <f t="shared" si="0"/>
        <v>-8.3657607325519044E-3</v>
      </c>
    </row>
    <row r="73" spans="3:6" s="289" customFormat="1" ht="13.5" thickTop="1">
      <c r="C73" s="290"/>
      <c r="D73" s="322" t="s">
        <v>132</v>
      </c>
      <c r="E73" s="341">
        <f>E6-E47</f>
        <v>-11433498.879999999</v>
      </c>
      <c r="F73" s="330">
        <f t="shared" ref="F73:F88" si="6">E73/$E$2*100</f>
        <v>-0.16565726654979063</v>
      </c>
    </row>
    <row r="74" spans="3:6" s="289" customFormat="1">
      <c r="C74" s="290"/>
      <c r="D74" s="351" t="s">
        <v>607</v>
      </c>
      <c r="E74" s="352">
        <f>E73-E72</f>
        <v>-10856102.439999999</v>
      </c>
      <c r="F74" s="353">
        <f t="shared" ref="F74" si="7">E74/$E$2*100</f>
        <v>-0.15729150581723872</v>
      </c>
    </row>
    <row r="75" spans="3:6" s="289" customFormat="1" ht="13.5" thickBot="1">
      <c r="C75" s="290"/>
      <c r="D75" s="323" t="s">
        <v>583</v>
      </c>
      <c r="E75" s="342">
        <f>E73+E55</f>
        <v>-11163498.879999999</v>
      </c>
      <c r="F75" s="331">
        <f t="shared" si="6"/>
        <v>-0.16174530027963313</v>
      </c>
    </row>
    <row r="76" spans="3:6" s="289" customFormat="1" ht="13.5" thickTop="1">
      <c r="C76" s="290"/>
      <c r="D76" s="321" t="s">
        <v>0</v>
      </c>
      <c r="E76" s="343">
        <f>SUM(E77:E78)</f>
        <v>1226000</v>
      </c>
      <c r="F76" s="332">
        <f t="shared" si="6"/>
        <v>1.7763224619307724E-2</v>
      </c>
    </row>
    <row r="77" spans="3:6" s="289" customFormat="1">
      <c r="C77" s="290">
        <v>4611</v>
      </c>
      <c r="D77" s="298" t="s">
        <v>135</v>
      </c>
      <c r="E77" s="344">
        <f>VLOOKUP(C77,'RASHODI ekon klas'!$B$5:$D$149,3,FALSE)</f>
        <v>528000</v>
      </c>
      <c r="F77" s="326">
        <f t="shared" si="6"/>
        <v>7.6500673727524305E-3</v>
      </c>
    </row>
    <row r="78" spans="3:6" s="289" customFormat="1">
      <c r="C78" s="290">
        <v>4612</v>
      </c>
      <c r="D78" s="298" t="s">
        <v>137</v>
      </c>
      <c r="E78" s="345">
        <f>VLOOKUP(C78,'RASHODI ekon klas'!$B$5:$D$149,3,FALSE)</f>
        <v>698000</v>
      </c>
      <c r="F78" s="326">
        <f t="shared" si="6"/>
        <v>1.0113157246555296E-2</v>
      </c>
    </row>
    <row r="79" spans="3:6" s="289" customFormat="1">
      <c r="C79" s="290">
        <v>4418</v>
      </c>
      <c r="D79" s="317" t="s">
        <v>584</v>
      </c>
      <c r="E79" s="339">
        <f>VLOOKUP(C79,'RASHODI ekon klas'!$B$5:$D$149,3,FALSE)</f>
        <v>0</v>
      </c>
      <c r="F79" s="328">
        <f t="shared" si="6"/>
        <v>0</v>
      </c>
    </row>
    <row r="80" spans="3:6" s="289" customFormat="1">
      <c r="C80" s="290">
        <v>451</v>
      </c>
      <c r="D80" s="317" t="s">
        <v>111</v>
      </c>
      <c r="E80" s="339">
        <f>VLOOKUP(C80,'RASHODI ekon klas'!$B$5:$D$149,3,FALSE)</f>
        <v>0</v>
      </c>
      <c r="F80" s="328">
        <f t="shared" si="6"/>
        <v>0</v>
      </c>
    </row>
    <row r="81" spans="3:6">
      <c r="D81" s="317" t="s">
        <v>141</v>
      </c>
      <c r="E81" s="339">
        <f>E73-E76-E79-E80</f>
        <v>-12659498.879999999</v>
      </c>
      <c r="F81" s="328">
        <f t="shared" si="6"/>
        <v>-0.18342049116909834</v>
      </c>
    </row>
    <row r="82" spans="3:6">
      <c r="D82" s="317" t="s">
        <v>121</v>
      </c>
      <c r="E82" s="339">
        <f>E83+E86+E87+E88+E90</f>
        <v>12659498.879999999</v>
      </c>
      <c r="F82" s="328">
        <f t="shared" si="6"/>
        <v>0.18342049116909834</v>
      </c>
    </row>
    <row r="83" spans="3:6">
      <c r="C83" s="290">
        <v>75</v>
      </c>
      <c r="D83" s="297" t="s">
        <v>111</v>
      </c>
      <c r="E83" s="335">
        <f>+E84+E85</f>
        <v>0</v>
      </c>
      <c r="F83" s="329">
        <f t="shared" si="6"/>
        <v>0</v>
      </c>
    </row>
    <row r="84" spans="3:6">
      <c r="C84" s="290">
        <v>7511</v>
      </c>
      <c r="D84" s="298" t="s">
        <v>144</v>
      </c>
      <c r="E84" s="336">
        <f>VLOOKUP(C84,'PRIHODI ekon klas'!$B$4:$D$92,3,FALSE)</f>
        <v>0</v>
      </c>
      <c r="F84" s="326">
        <f t="shared" si="6"/>
        <v>0</v>
      </c>
    </row>
    <row r="85" spans="3:6">
      <c r="C85" s="290">
        <v>7512</v>
      </c>
      <c r="D85" s="298" t="s">
        <v>122</v>
      </c>
      <c r="E85" s="336">
        <f>VLOOKUP(C85,'PRIHODI ekon klas'!$B$4:$D$92,3,FALSE)</f>
        <v>0</v>
      </c>
      <c r="F85" s="326">
        <f t="shared" si="6"/>
        <v>0</v>
      </c>
    </row>
    <row r="86" spans="3:6">
      <c r="C86" s="290">
        <v>72</v>
      </c>
      <c r="D86" s="297" t="s">
        <v>469</v>
      </c>
      <c r="E86" s="346">
        <f>VLOOKUP(C86,'PRIHODI ekon klas'!$B$4:$D$92,3,FALSE)</f>
        <v>2203500</v>
      </c>
      <c r="F86" s="325">
        <f t="shared" si="6"/>
        <v>3.1925991393674205E-2</v>
      </c>
    </row>
    <row r="87" spans="3:6">
      <c r="C87" s="290">
        <v>731</v>
      </c>
      <c r="D87" s="297" t="s">
        <v>409</v>
      </c>
      <c r="E87" s="346">
        <f>VLOOKUP(C87,'PRIHODI ekon klas'!$B$4:$D$92,3,FALSE)</f>
        <v>10000</v>
      </c>
      <c r="F87" s="325">
        <f t="shared" si="6"/>
        <v>1.4488763963546269E-4</v>
      </c>
    </row>
    <row r="88" spans="3:6">
      <c r="D88" s="297" t="s">
        <v>125</v>
      </c>
      <c r="E88" s="346">
        <f>-E81-E83-E86-E87-E90</f>
        <v>9865998.879999999</v>
      </c>
      <c r="F88" s="325">
        <f t="shared" si="6"/>
        <v>0.14294612903693182</v>
      </c>
    </row>
    <row r="89" spans="3:6">
      <c r="C89" s="290">
        <v>732</v>
      </c>
      <c r="D89" s="298" t="s">
        <v>415</v>
      </c>
      <c r="E89" s="336">
        <f>VLOOKUP(C89,'PRIHODI ekon klas'!$B$4:$D$92,3,FALSE)</f>
        <v>9865998.8800000008</v>
      </c>
      <c r="F89" s="326">
        <f t="shared" ref="F89:F90" si="8">E89/$E$2*100</f>
        <v>0.14294612903693188</v>
      </c>
    </row>
    <row r="90" spans="3:6">
      <c r="C90" s="290">
        <v>742</v>
      </c>
      <c r="D90" s="298" t="s">
        <v>622</v>
      </c>
      <c r="E90" s="336">
        <f>+'PRIHODI ekon klas'!D82+'PRIHODI ekon klas'!D83+'PRIHODI ekon klas'!D84+'PRIHODI ekon klas'!D85+'PRIHODI ekon klas'!D86</f>
        <v>580000</v>
      </c>
      <c r="F90" s="326">
        <f t="shared" si="8"/>
        <v>8.4034830988568357E-3</v>
      </c>
    </row>
    <row r="91" spans="3:6" ht="13.5" thickBot="1">
      <c r="D91" s="319" t="s">
        <v>586</v>
      </c>
      <c r="E91" s="347">
        <f>+E88-E89</f>
        <v>0</v>
      </c>
      <c r="F91" s="333">
        <f t="shared" ref="F91" si="9">E91/$E$2*100</f>
        <v>0</v>
      </c>
    </row>
    <row r="92" spans="3:6" s="289" customFormat="1" ht="14.25" thickTop="1" thickBot="1">
      <c r="C92" s="290"/>
      <c r="D92" s="308"/>
      <c r="E92" s="309"/>
    </row>
    <row r="93" spans="3:6" customFormat="1" ht="14.25" thickTop="1" thickBot="1">
      <c r="C93" s="290"/>
      <c r="D93" s="364" t="s">
        <v>614</v>
      </c>
      <c r="E93" s="365" t="str">
        <f>IF(-E73&gt;E6*0.1, "NIJE ISPUNJEN","ISPUNJEN")</f>
        <v>NIJE ISPUNJEN</v>
      </c>
      <c r="F93" s="289"/>
    </row>
    <row r="94" spans="3:6" customFormat="1" ht="13.5" thickTop="1">
      <c r="C94" s="290"/>
      <c r="D94" s="308"/>
      <c r="E94" s="309"/>
      <c r="F94" s="289"/>
    </row>
    <row r="95" spans="3:6" s="289" customFormat="1" ht="31.5" customHeight="1">
      <c r="C95" s="290"/>
      <c r="D95" s="468" t="s">
        <v>606</v>
      </c>
      <c r="E95" s="468"/>
      <c r="F95" s="468"/>
    </row>
    <row r="96" spans="3:6" s="289" customFormat="1">
      <c r="C96" s="290"/>
      <c r="D96" s="308"/>
    </row>
    <row r="97" spans="3:6" s="289" customFormat="1" ht="31.5" customHeight="1">
      <c r="C97" s="290"/>
      <c r="D97" s="468" t="s">
        <v>618</v>
      </c>
      <c r="E97" s="468"/>
      <c r="F97" s="468"/>
    </row>
    <row r="98" spans="3:6" s="289" customFormat="1">
      <c r="C98" s="290"/>
      <c r="D98" s="308"/>
    </row>
    <row r="99" spans="3:6" s="289" customFormat="1">
      <c r="C99" s="290"/>
      <c r="D99" s="308"/>
    </row>
    <row r="100" spans="3:6" s="289" customFormat="1">
      <c r="C100" s="290"/>
      <c r="D100" s="308"/>
    </row>
    <row r="101" spans="3:6" s="289" customFormat="1">
      <c r="C101" s="290"/>
      <c r="D101" s="308"/>
    </row>
    <row r="102" spans="3:6" s="289" customFormat="1">
      <c r="C102" s="290"/>
      <c r="D102" s="308"/>
    </row>
    <row r="103" spans="3:6" s="289" customFormat="1">
      <c r="C103" s="290"/>
      <c r="D103" s="308"/>
    </row>
    <row r="104" spans="3:6" s="289" customFormat="1">
      <c r="C104" s="290"/>
      <c r="D104" s="308"/>
    </row>
    <row r="105" spans="3:6" s="289" customFormat="1">
      <c r="C105" s="290"/>
      <c r="D105" s="308"/>
    </row>
    <row r="106" spans="3:6" s="289" customFormat="1">
      <c r="C106" s="290"/>
      <c r="D106" s="308"/>
    </row>
    <row r="107" spans="3:6" s="289" customFormat="1">
      <c r="C107" s="290"/>
      <c r="D107" s="308"/>
    </row>
    <row r="108" spans="3:6" s="289" customFormat="1">
      <c r="C108" s="290"/>
      <c r="D108" s="308"/>
    </row>
    <row r="109" spans="3:6" s="289" customFormat="1">
      <c r="C109" s="290"/>
      <c r="D109" s="308"/>
    </row>
    <row r="110" spans="3:6" s="289" customFormat="1">
      <c r="C110" s="290"/>
      <c r="D110" s="308"/>
    </row>
    <row r="111" spans="3:6" s="289" customFormat="1">
      <c r="C111" s="290"/>
      <c r="D111" s="308"/>
    </row>
    <row r="112" spans="3:6" s="289" customFormat="1">
      <c r="C112" s="290"/>
      <c r="D112" s="308"/>
    </row>
    <row r="113" spans="3:3" s="289" customFormat="1">
      <c r="C113" s="290"/>
    </row>
    <row r="114" spans="3:3" s="289" customFormat="1">
      <c r="C114" s="290"/>
    </row>
    <row r="115" spans="3:3" s="289" customFormat="1">
      <c r="C115" s="290"/>
    </row>
    <row r="116" spans="3:3" s="289" customFormat="1">
      <c r="C116" s="290"/>
    </row>
    <row r="117" spans="3:3" s="289" customFormat="1">
      <c r="C117" s="290"/>
    </row>
    <row r="118" spans="3:3" s="289" customFormat="1">
      <c r="C118" s="290"/>
    </row>
    <row r="119" spans="3:3" s="289" customFormat="1">
      <c r="C119" s="290"/>
    </row>
    <row r="120" spans="3:3" s="289" customFormat="1">
      <c r="C120" s="290"/>
    </row>
    <row r="121" spans="3:3" s="289" customFormat="1">
      <c r="C121" s="290"/>
    </row>
    <row r="122" spans="3:3" s="289" customFormat="1">
      <c r="C122" s="290"/>
    </row>
    <row r="123" spans="3:3" s="289" customFormat="1">
      <c r="C123" s="290"/>
    </row>
    <row r="124" spans="3:3" s="289" customFormat="1">
      <c r="C124" s="290"/>
    </row>
    <row r="125" spans="3:3" s="289" customFormat="1">
      <c r="C125" s="290"/>
    </row>
    <row r="126" spans="3:3" s="289" customFormat="1">
      <c r="C126" s="290"/>
    </row>
    <row r="127" spans="3:3" s="289" customFormat="1">
      <c r="C127" s="290"/>
    </row>
    <row r="128" spans="3:3" s="289" customFormat="1">
      <c r="C128" s="290"/>
    </row>
    <row r="129" spans="3:3" s="289" customFormat="1">
      <c r="C129" s="290"/>
    </row>
    <row r="130" spans="3:3" s="289" customFormat="1">
      <c r="C130" s="290"/>
    </row>
    <row r="131" spans="3:3" s="289" customFormat="1">
      <c r="C131" s="290"/>
    </row>
    <row r="132" spans="3:3" s="289" customFormat="1">
      <c r="C132" s="290"/>
    </row>
    <row r="133" spans="3:3" s="289" customFormat="1">
      <c r="C133" s="290"/>
    </row>
    <row r="134" spans="3:3" s="289" customFormat="1">
      <c r="C134" s="290"/>
    </row>
    <row r="135" spans="3:3" s="289" customFormat="1">
      <c r="C135" s="290"/>
    </row>
    <row r="136" spans="3:3" s="289" customFormat="1">
      <c r="C136" s="290"/>
    </row>
    <row r="137" spans="3:3" s="289" customFormat="1">
      <c r="C137" s="290"/>
    </row>
    <row r="138" spans="3:3" s="289" customFormat="1">
      <c r="C138" s="290"/>
    </row>
    <row r="139" spans="3:3" s="289" customFormat="1">
      <c r="C139" s="290"/>
    </row>
    <row r="178" spans="4:4">
      <c r="D178" s="310"/>
    </row>
    <row r="179" spans="4:4">
      <c r="D179" s="310"/>
    </row>
  </sheetData>
  <mergeCells count="6">
    <mergeCell ref="D97:F97"/>
    <mergeCell ref="E2:F2"/>
    <mergeCell ref="E3:F3"/>
    <mergeCell ref="D4:D5"/>
    <mergeCell ref="E4:F4"/>
    <mergeCell ref="D95:F95"/>
  </mergeCells>
  <conditionalFormatting sqref="E93">
    <cfRule type="beginsWith" dxfId="3" priority="1" operator="beginsWith" text="ISPUNJEN">
      <formula>LEFT(E93,LEN("ISPUNJEN"))="ISPUNJEN"</formula>
    </cfRule>
    <cfRule type="beginsWith" dxfId="2" priority="2" operator="beginsWith" text="NIJE ISPUNJEN">
      <formula>LEFT(E93,LEN("NIJE ISPUNJEN"))="NIJE ISPUNJEN"</formula>
    </cfRule>
  </conditionalFormatting>
  <pageMargins left="0.51181102362204722" right="0.51181102362204722" top="0.74803149606299213" bottom="0.74803149606299213" header="0.31496062992125984" footer="0.31496062992125984"/>
  <pageSetup scale="75" orientation="portrait" horizontalDpi="4294967294" verticalDpi="4294967294"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B7C47-76E0-4CEB-A27A-F3716CC4E776}">
  <sheetPr>
    <tabColor theme="6" tint="0.59999389629810485"/>
  </sheetPr>
  <dimension ref="A1:F127"/>
  <sheetViews>
    <sheetView showGridLines="0" zoomScale="85" zoomScaleNormal="85" workbookViewId="0">
      <selection activeCell="D52" sqref="D52"/>
    </sheetView>
  </sheetViews>
  <sheetFormatPr defaultRowHeight="12.75"/>
  <cols>
    <col min="1" max="2" width="3" style="289" customWidth="1"/>
    <col min="3" max="3" width="7.5703125" style="290" customWidth="1"/>
    <col min="4" max="4" width="62.7109375" style="293" customWidth="1"/>
    <col min="5" max="5" width="18.7109375" style="293" customWidth="1"/>
    <col min="6" max="6" width="10.42578125" style="293" customWidth="1"/>
  </cols>
  <sheetData>
    <row r="1" spans="3:6" ht="13.5" thickBot="1">
      <c r="D1" s="291"/>
      <c r="E1" s="292"/>
      <c r="F1" s="292"/>
    </row>
    <row r="2" spans="3:6" ht="17.25" thickTop="1" thickBot="1">
      <c r="D2" s="318" t="s">
        <v>625</v>
      </c>
      <c r="E2" s="469">
        <v>6901900000</v>
      </c>
      <c r="F2" s="469"/>
    </row>
    <row r="3" spans="3:6" ht="14.25" thickTop="1" thickBot="1">
      <c r="C3" s="294"/>
      <c r="D3" s="291"/>
      <c r="E3" s="470"/>
      <c r="F3" s="470"/>
    </row>
    <row r="4" spans="3:6" ht="13.5" thickTop="1">
      <c r="C4" s="295"/>
      <c r="D4" s="471" t="s">
        <v>585</v>
      </c>
      <c r="E4" s="473">
        <v>2025</v>
      </c>
      <c r="F4" s="474"/>
    </row>
    <row r="5" spans="3:6" ht="13.5" thickBot="1">
      <c r="D5" s="472" t="s">
        <v>127</v>
      </c>
      <c r="E5" s="314" t="s">
        <v>263</v>
      </c>
      <c r="F5" s="315" t="s">
        <v>150</v>
      </c>
    </row>
    <row r="6" spans="3:6" ht="13.5" thickTop="1">
      <c r="D6" s="313" t="s">
        <v>398</v>
      </c>
      <c r="E6" s="334">
        <f>E7+E22+E23+E24+E27</f>
        <v>29670501.120000001</v>
      </c>
      <c r="F6" s="324">
        <f t="shared" ref="F6:F38" si="0">E6/$E$2*100</f>
        <v>0.42988888740781528</v>
      </c>
    </row>
    <row r="7" spans="3:6" customFormat="1">
      <c r="C7" s="357">
        <v>71</v>
      </c>
      <c r="D7" s="297" t="s">
        <v>399</v>
      </c>
      <c r="E7" s="335">
        <f>E8+E9+E10+E11+E21</f>
        <v>22470501.120000001</v>
      </c>
      <c r="F7" s="325">
        <f t="shared" si="0"/>
        <v>0.3255697868702821</v>
      </c>
    </row>
    <row r="8" spans="3:6" customFormat="1">
      <c r="C8" s="363">
        <v>711</v>
      </c>
      <c r="D8" s="297" t="s">
        <v>2</v>
      </c>
      <c r="E8" s="337">
        <f>VLOOKUP(C8,'PRIHODI ekon klas'!$B$4:$D$92,3,FALSE)</f>
        <v>17619600</v>
      </c>
      <c r="F8" s="325">
        <f t="shared" ref="F8" si="1">E8/$E$2*100</f>
        <v>0.25528622553209984</v>
      </c>
    </row>
    <row r="9" spans="3:6" customFormat="1">
      <c r="C9" s="303">
        <v>712</v>
      </c>
      <c r="D9" s="297" t="s">
        <v>19</v>
      </c>
      <c r="E9" s="337">
        <f>VLOOKUP(C9,'PRIHODI ekon klas'!$B$4:$D$92,3,FALSE)</f>
        <v>0</v>
      </c>
      <c r="F9" s="325">
        <f t="shared" si="0"/>
        <v>0</v>
      </c>
    </row>
    <row r="10" spans="3:6" customFormat="1">
      <c r="C10" s="303">
        <v>713</v>
      </c>
      <c r="D10" s="297" t="s">
        <v>29</v>
      </c>
      <c r="E10" s="337">
        <f>VLOOKUP(C10,'PRIHODI ekon klas'!$B$4:$D$92,3,FALSE)</f>
        <v>227601.12</v>
      </c>
      <c r="F10" s="325">
        <f t="shared" si="0"/>
        <v>3.2976589055187704E-3</v>
      </c>
    </row>
    <row r="11" spans="3:6" customFormat="1">
      <c r="C11" s="303">
        <v>714</v>
      </c>
      <c r="D11" s="297" t="s">
        <v>39</v>
      </c>
      <c r="E11" s="337">
        <f>SUM(E12:E20)</f>
        <v>3800200</v>
      </c>
      <c r="F11" s="325">
        <f t="shared" si="0"/>
        <v>5.5060200814268538E-2</v>
      </c>
    </row>
    <row r="12" spans="3:6" customFormat="1">
      <c r="C12" s="290">
        <v>7141</v>
      </c>
      <c r="D12" s="298" t="s">
        <v>40</v>
      </c>
      <c r="E12" s="336">
        <f>VLOOKUP(C12,'PRIHODI ekon klas'!$B$4:$D$92,3,FALSE)</f>
        <v>2090100</v>
      </c>
      <c r="F12" s="326">
        <f t="shared" si="0"/>
        <v>3.0282965560208062E-2</v>
      </c>
    </row>
    <row r="13" spans="3:6" customFormat="1">
      <c r="C13" s="290">
        <v>7142</v>
      </c>
      <c r="D13" s="298" t="s">
        <v>42</v>
      </c>
      <c r="E13" s="336">
        <f>VLOOKUP(C13,'PRIHODI ekon klas'!$B$4:$D$92,3,FALSE)</f>
        <v>600100</v>
      </c>
      <c r="F13" s="326">
        <f t="shared" si="0"/>
        <v>8.6947072545241165E-3</v>
      </c>
    </row>
    <row r="14" spans="3:6" customFormat="1">
      <c r="C14" s="290">
        <v>7143</v>
      </c>
      <c r="D14" s="298" t="s">
        <v>45</v>
      </c>
      <c r="E14" s="336">
        <f>VLOOKUP(C14,'PRIHODI ekon klas'!$B$4:$D$92,3,FALSE)</f>
        <v>0</v>
      </c>
      <c r="F14" s="326">
        <f t="shared" si="0"/>
        <v>0</v>
      </c>
    </row>
    <row r="15" spans="3:6" customFormat="1">
      <c r="C15" s="290">
        <v>7144</v>
      </c>
      <c r="D15" s="298" t="s">
        <v>47</v>
      </c>
      <c r="E15" s="336">
        <f>VLOOKUP(C15,'PRIHODI ekon klas'!$B$4:$D$92,3,FALSE)</f>
        <v>0</v>
      </c>
      <c r="F15" s="326">
        <f t="shared" si="0"/>
        <v>0</v>
      </c>
    </row>
    <row r="16" spans="3:6" customFormat="1">
      <c r="C16" s="290">
        <v>7145</v>
      </c>
      <c r="D16" s="298" t="s">
        <v>44</v>
      </c>
      <c r="E16" s="336">
        <f>VLOOKUP(C16,'PRIHODI ekon klas'!$B$4:$D$92,3,FALSE)</f>
        <v>0</v>
      </c>
      <c r="F16" s="326">
        <f t="shared" si="0"/>
        <v>0</v>
      </c>
    </row>
    <row r="17" spans="1:6">
      <c r="C17" s="290">
        <v>7146</v>
      </c>
      <c r="D17" s="348" t="s">
        <v>573</v>
      </c>
      <c r="E17" s="349"/>
      <c r="F17" s="350">
        <f t="shared" si="0"/>
        <v>0</v>
      </c>
    </row>
    <row r="18" spans="1:6">
      <c r="C18" s="290">
        <v>7147</v>
      </c>
      <c r="D18" s="298" t="s">
        <v>454</v>
      </c>
      <c r="E18" s="336">
        <f>VLOOKUP(C18,'PRIHODI ekon klas'!$B$4:$D$92,3,FALSE)</f>
        <v>0</v>
      </c>
      <c r="F18" s="326">
        <f t="shared" si="0"/>
        <v>0</v>
      </c>
    </row>
    <row r="19" spans="1:6">
      <c r="C19" s="290">
        <v>7148</v>
      </c>
      <c r="D19" s="298" t="s">
        <v>50</v>
      </c>
      <c r="E19" s="336">
        <f>VLOOKUP(C19,'PRIHODI ekon klas'!$B$4:$D$92,3,FALSE)</f>
        <v>1080000</v>
      </c>
      <c r="F19" s="326">
        <f t="shared" si="0"/>
        <v>1.5647865080629972E-2</v>
      </c>
    </row>
    <row r="20" spans="1:6">
      <c r="C20" s="290">
        <v>7149</v>
      </c>
      <c r="D20" s="298" t="s">
        <v>51</v>
      </c>
      <c r="E20" s="336">
        <f>VLOOKUP(C20,'PRIHODI ekon klas'!$B$4:$D$92,3,FALSE)</f>
        <v>30000</v>
      </c>
      <c r="F20" s="326">
        <f t="shared" si="0"/>
        <v>4.3466291890638804E-4</v>
      </c>
    </row>
    <row r="21" spans="1:6">
      <c r="C21" s="303">
        <v>715</v>
      </c>
      <c r="D21" s="297" t="s">
        <v>53</v>
      </c>
      <c r="E21" s="337">
        <f>VLOOKUP(C21,'PRIHODI ekon klas'!$B$4:$D$92,3,FALSE)</f>
        <v>823100</v>
      </c>
      <c r="F21" s="325">
        <f t="shared" si="0"/>
        <v>1.1925701618394935E-2</v>
      </c>
    </row>
    <row r="22" spans="1:6">
      <c r="C22" s="357">
        <v>72</v>
      </c>
      <c r="D22" s="354" t="s">
        <v>469</v>
      </c>
      <c r="E22" s="358"/>
      <c r="F22" s="356">
        <f>E22/$E$2*100</f>
        <v>0</v>
      </c>
    </row>
    <row r="23" spans="1:6">
      <c r="C23" s="357">
        <v>73</v>
      </c>
      <c r="D23" s="354" t="s">
        <v>472</v>
      </c>
      <c r="E23" s="358"/>
      <c r="F23" s="356">
        <f>E23/$E$2*100</f>
        <v>0</v>
      </c>
    </row>
    <row r="24" spans="1:6">
      <c r="A24" s="301"/>
      <c r="B24" s="302"/>
      <c r="C24" s="357">
        <v>74</v>
      </c>
      <c r="D24" s="304" t="s">
        <v>470</v>
      </c>
      <c r="E24" s="337">
        <f>+E25+E26</f>
        <v>7200000</v>
      </c>
      <c r="F24" s="325">
        <f t="shared" si="0"/>
        <v>0.10431910053753314</v>
      </c>
    </row>
    <row r="25" spans="1:6">
      <c r="C25" s="290">
        <v>741</v>
      </c>
      <c r="D25" s="354" t="s">
        <v>123</v>
      </c>
      <c r="E25" s="358"/>
      <c r="F25" s="356">
        <f t="shared" si="0"/>
        <v>0</v>
      </c>
    </row>
    <row r="26" spans="1:6">
      <c r="C26" s="290">
        <v>7426</v>
      </c>
      <c r="D26" s="298" t="s">
        <v>576</v>
      </c>
      <c r="E26" s="336">
        <f>VLOOKUP(C26,'PRIHODI ekon klas'!$B$4:$D$92,3,FALSE)+'PRIHODI ekon klas'!D88</f>
        <v>7200000</v>
      </c>
      <c r="F26" s="326">
        <f t="shared" si="0"/>
        <v>0.10431910053753314</v>
      </c>
    </row>
    <row r="27" spans="1:6" ht="13.5" thickBot="1">
      <c r="C27" s="357">
        <v>75</v>
      </c>
      <c r="D27" s="354" t="s">
        <v>111</v>
      </c>
      <c r="E27" s="355"/>
      <c r="F27" s="356">
        <f>E27/$E$2*100</f>
        <v>0</v>
      </c>
    </row>
    <row r="28" spans="1:6">
      <c r="D28" s="316" t="s">
        <v>62</v>
      </c>
      <c r="E28" s="338">
        <f>E29+E30+E31+E32+E33+E34+E35</f>
        <v>29654017</v>
      </c>
      <c r="F28" s="327">
        <f t="shared" si="0"/>
        <v>0.4296500528839885</v>
      </c>
    </row>
    <row r="29" spans="1:6">
      <c r="C29" s="357">
        <v>41</v>
      </c>
      <c r="D29" s="297" t="s">
        <v>63</v>
      </c>
      <c r="E29" s="337">
        <f>VLOOKUP(C29,'RASHODI ekon klas'!$B$5:$D$149,3,FALSE)</f>
        <v>12519920</v>
      </c>
      <c r="F29" s="325">
        <f t="shared" si="0"/>
        <v>0.18139816572248221</v>
      </c>
    </row>
    <row r="30" spans="1:6">
      <c r="A30"/>
      <c r="B30"/>
      <c r="C30" s="357">
        <v>42</v>
      </c>
      <c r="D30" s="297" t="s">
        <v>87</v>
      </c>
      <c r="E30" s="337">
        <f>VLOOKUP(C30,'RASHODI ekon klas'!$B$5:$D$149,3,FALSE)</f>
        <v>2178200</v>
      </c>
      <c r="F30" s="325">
        <f t="shared" si="0"/>
        <v>3.1559425665396483E-2</v>
      </c>
    </row>
    <row r="31" spans="1:6">
      <c r="A31"/>
      <c r="B31"/>
      <c r="C31" s="357">
        <v>43</v>
      </c>
      <c r="D31" s="304" t="s">
        <v>100</v>
      </c>
      <c r="E31" s="337">
        <f>VLOOKUP(C31,'RASHODI ekon klas'!$B$5:$D$149,3,FALSE)</f>
        <v>13636880</v>
      </c>
      <c r="F31" s="325">
        <f t="shared" si="0"/>
        <v>0.19758153551920488</v>
      </c>
    </row>
    <row r="32" spans="1:6">
      <c r="A32"/>
      <c r="B32"/>
      <c r="C32" s="357">
        <v>44</v>
      </c>
      <c r="D32" s="354" t="s">
        <v>281</v>
      </c>
      <c r="E32" s="355"/>
      <c r="F32" s="356">
        <f>E32/$E$2*100</f>
        <v>0</v>
      </c>
    </row>
    <row r="33" spans="1:6">
      <c r="A33"/>
      <c r="B33"/>
      <c r="C33" s="357">
        <v>45</v>
      </c>
      <c r="D33" s="354" t="s">
        <v>558</v>
      </c>
      <c r="E33" s="355"/>
      <c r="F33" s="356">
        <f>E33/$E$2*100</f>
        <v>0</v>
      </c>
    </row>
    <row r="34" spans="1:6">
      <c r="A34"/>
      <c r="B34"/>
      <c r="C34" s="357">
        <v>47</v>
      </c>
      <c r="D34" s="354" t="s">
        <v>118</v>
      </c>
      <c r="E34" s="355"/>
      <c r="F34" s="356">
        <f t="shared" si="0"/>
        <v>0</v>
      </c>
    </row>
    <row r="35" spans="1:6">
      <c r="A35"/>
      <c r="B35"/>
      <c r="C35" s="357">
        <v>46</v>
      </c>
      <c r="D35" s="297" t="s">
        <v>564</v>
      </c>
      <c r="E35" s="337">
        <f>+SUM(E36:E38)</f>
        <v>1319017</v>
      </c>
      <c r="F35" s="325">
        <f t="shared" ref="F35:F37" si="2">E35/$E$2*100</f>
        <v>1.9110925976904912E-2</v>
      </c>
    </row>
    <row r="36" spans="1:6">
      <c r="A36"/>
      <c r="B36"/>
      <c r="C36" s="362">
        <v>461</v>
      </c>
      <c r="D36" s="298" t="s">
        <v>0</v>
      </c>
      <c r="E36" s="340">
        <f>'RASHODI ekon klas'!D135+'RASHODI ekon klas'!D138</f>
        <v>0</v>
      </c>
      <c r="F36" s="326">
        <f t="shared" ref="F36" si="3">E36/$E$2*100</f>
        <v>0</v>
      </c>
    </row>
    <row r="37" spans="1:6">
      <c r="A37"/>
      <c r="B37"/>
      <c r="C37" s="362">
        <v>462</v>
      </c>
      <c r="D37" s="298" t="s">
        <v>113</v>
      </c>
      <c r="E37" s="340">
        <f>VLOOKUP(C37,'RASHODI ekon klas'!$B$5:$D$149,3,FALSE)</f>
        <v>0</v>
      </c>
      <c r="F37" s="326">
        <f t="shared" si="2"/>
        <v>0</v>
      </c>
    </row>
    <row r="38" spans="1:6" ht="13.5" thickBot="1">
      <c r="A38"/>
      <c r="B38"/>
      <c r="C38" s="362">
        <v>463</v>
      </c>
      <c r="D38" s="298" t="s">
        <v>116</v>
      </c>
      <c r="E38" s="340">
        <f>'RASHODI ekon klas'!D145</f>
        <v>1319017</v>
      </c>
      <c r="F38" s="326">
        <f t="shared" si="0"/>
        <v>1.9110925976904912E-2</v>
      </c>
    </row>
    <row r="39" spans="1:6" ht="14.25" thickTop="1" thickBot="1">
      <c r="A39"/>
      <c r="B39"/>
      <c r="D39" s="359" t="s">
        <v>613</v>
      </c>
      <c r="E39" s="360">
        <f>E6-E28</f>
        <v>16484.120000001043</v>
      </c>
      <c r="F39" s="361">
        <f t="shared" ref="F39" si="4">E39/$E$2*100</f>
        <v>2.3883452382678747E-4</v>
      </c>
    </row>
    <row r="40" spans="1:6" ht="14.25" thickTop="1" thickBot="1">
      <c r="A40"/>
      <c r="B40"/>
      <c r="D40" s="308"/>
      <c r="E40" s="309"/>
      <c r="F40" s="289"/>
    </row>
    <row r="41" spans="1:6" ht="14.25" thickTop="1" thickBot="1">
      <c r="A41"/>
      <c r="B41"/>
      <c r="D41" s="364" t="s">
        <v>614</v>
      </c>
      <c r="E41" s="365" t="str">
        <f>IF(E39&gt;=0,"ISPUNJEN", "NIJE ISPUNJEN")</f>
        <v>ISPUNJEN</v>
      </c>
      <c r="F41" s="289"/>
    </row>
    <row r="42" spans="1:6" ht="13.5" thickTop="1">
      <c r="A42"/>
      <c r="B42"/>
      <c r="D42" s="308"/>
      <c r="E42" s="309"/>
      <c r="F42" s="289"/>
    </row>
    <row r="43" spans="1:6" ht="25.5">
      <c r="A43"/>
      <c r="B43"/>
      <c r="D43" s="308" t="s">
        <v>612</v>
      </c>
      <c r="E43" s="289"/>
      <c r="F43" s="289"/>
    </row>
    <row r="44" spans="1:6">
      <c r="A44"/>
      <c r="B44"/>
      <c r="D44" s="308"/>
      <c r="E44" s="289"/>
      <c r="F44" s="289"/>
    </row>
    <row r="45" spans="1:6">
      <c r="A45"/>
      <c r="B45"/>
      <c r="D45" s="308"/>
      <c r="E45" s="289"/>
      <c r="F45" s="289"/>
    </row>
    <row r="46" spans="1:6">
      <c r="A46"/>
      <c r="B46"/>
      <c r="D46" s="308"/>
      <c r="E46" s="289"/>
      <c r="F46" s="289"/>
    </row>
    <row r="47" spans="1:6">
      <c r="A47"/>
      <c r="B47"/>
      <c r="D47" s="308"/>
      <c r="E47" s="289"/>
      <c r="F47" s="289"/>
    </row>
    <row r="48" spans="1:6">
      <c r="A48"/>
      <c r="B48"/>
      <c r="D48" s="308"/>
      <c r="E48" s="289"/>
      <c r="F48" s="289"/>
    </row>
    <row r="49" spans="1:6">
      <c r="A49"/>
      <c r="B49"/>
      <c r="D49" s="308"/>
      <c r="E49" s="289"/>
      <c r="F49" s="289"/>
    </row>
    <row r="50" spans="1:6">
      <c r="A50"/>
      <c r="B50"/>
      <c r="D50" s="308"/>
      <c r="E50" s="289"/>
      <c r="F50" s="289"/>
    </row>
    <row r="51" spans="1:6">
      <c r="A51"/>
      <c r="B51"/>
      <c r="D51" s="308"/>
      <c r="E51" s="289"/>
      <c r="F51" s="289"/>
    </row>
    <row r="52" spans="1:6">
      <c r="A52"/>
      <c r="B52"/>
      <c r="C52"/>
      <c r="D52" s="308"/>
      <c r="E52" s="289"/>
      <c r="F52" s="289"/>
    </row>
    <row r="53" spans="1:6">
      <c r="A53"/>
      <c r="B53"/>
      <c r="C53"/>
      <c r="D53" s="308"/>
      <c r="E53" s="289"/>
      <c r="F53" s="289"/>
    </row>
    <row r="54" spans="1:6">
      <c r="A54"/>
      <c r="B54"/>
      <c r="C54"/>
      <c r="D54" s="308"/>
      <c r="E54" s="289"/>
      <c r="F54" s="289"/>
    </row>
    <row r="55" spans="1:6">
      <c r="A55"/>
      <c r="B55"/>
      <c r="C55"/>
      <c r="D55" s="308"/>
      <c r="E55" s="289"/>
      <c r="F55" s="289"/>
    </row>
    <row r="56" spans="1:6">
      <c r="A56"/>
      <c r="B56"/>
      <c r="C56"/>
      <c r="D56" s="308"/>
      <c r="E56" s="289"/>
      <c r="F56" s="289"/>
    </row>
    <row r="57" spans="1:6">
      <c r="A57"/>
      <c r="B57"/>
      <c r="C57"/>
      <c r="D57" s="308"/>
      <c r="E57" s="289"/>
      <c r="F57" s="289"/>
    </row>
    <row r="58" spans="1:6">
      <c r="A58"/>
      <c r="B58"/>
      <c r="C58"/>
      <c r="D58" s="308"/>
      <c r="E58" s="289"/>
      <c r="F58" s="289"/>
    </row>
    <row r="59" spans="1:6">
      <c r="A59"/>
      <c r="B59"/>
      <c r="C59"/>
      <c r="D59" s="308"/>
      <c r="E59" s="289"/>
      <c r="F59" s="289"/>
    </row>
    <row r="60" spans="1:6">
      <c r="A60"/>
      <c r="B60"/>
      <c r="C60"/>
      <c r="D60" s="308"/>
      <c r="E60" s="289"/>
      <c r="F60" s="289"/>
    </row>
    <row r="61" spans="1:6">
      <c r="A61"/>
      <c r="B61"/>
      <c r="C61"/>
      <c r="D61" s="289"/>
      <c r="E61" s="289"/>
      <c r="F61" s="289"/>
    </row>
    <row r="62" spans="1:6">
      <c r="A62"/>
      <c r="B62"/>
      <c r="C62"/>
      <c r="D62" s="289"/>
      <c r="E62" s="289"/>
      <c r="F62" s="289"/>
    </row>
    <row r="63" spans="1:6">
      <c r="A63"/>
      <c r="B63"/>
      <c r="C63"/>
      <c r="D63" s="289"/>
      <c r="E63" s="289"/>
      <c r="F63" s="289"/>
    </row>
    <row r="64" spans="1:6">
      <c r="A64"/>
      <c r="B64"/>
      <c r="C64"/>
      <c r="D64" s="289"/>
      <c r="E64" s="289"/>
      <c r="F64" s="289"/>
    </row>
    <row r="65" spans="1:6">
      <c r="A65"/>
      <c r="B65"/>
      <c r="C65"/>
      <c r="D65" s="289"/>
      <c r="E65" s="289"/>
      <c r="F65" s="289"/>
    </row>
    <row r="66" spans="1:6">
      <c r="A66"/>
      <c r="B66"/>
      <c r="C66"/>
      <c r="D66" s="289"/>
      <c r="E66" s="289"/>
      <c r="F66" s="289"/>
    </row>
    <row r="67" spans="1:6">
      <c r="A67"/>
      <c r="B67"/>
      <c r="C67"/>
      <c r="D67" s="289"/>
      <c r="E67" s="289"/>
      <c r="F67" s="289"/>
    </row>
    <row r="68" spans="1:6">
      <c r="A68"/>
      <c r="B68"/>
      <c r="C68"/>
      <c r="D68" s="289"/>
      <c r="E68" s="289"/>
      <c r="F68" s="289"/>
    </row>
    <row r="69" spans="1:6">
      <c r="A69"/>
      <c r="B69"/>
      <c r="C69"/>
      <c r="D69" s="289"/>
      <c r="E69" s="289"/>
      <c r="F69" s="289"/>
    </row>
    <row r="70" spans="1:6">
      <c r="A70"/>
      <c r="B70"/>
      <c r="C70"/>
      <c r="D70" s="289"/>
      <c r="E70" s="289"/>
      <c r="F70" s="289"/>
    </row>
    <row r="71" spans="1:6">
      <c r="A71"/>
      <c r="B71"/>
      <c r="C71"/>
      <c r="D71" s="289"/>
      <c r="E71" s="289"/>
      <c r="F71" s="289"/>
    </row>
    <row r="72" spans="1:6">
      <c r="A72"/>
      <c r="B72"/>
      <c r="C72"/>
      <c r="D72" s="289"/>
      <c r="E72" s="289"/>
      <c r="F72" s="289"/>
    </row>
    <row r="73" spans="1:6">
      <c r="A73"/>
      <c r="B73"/>
      <c r="C73"/>
      <c r="D73" s="289"/>
      <c r="E73" s="289"/>
      <c r="F73" s="289"/>
    </row>
    <row r="74" spans="1:6">
      <c r="A74"/>
      <c r="B74"/>
      <c r="C74"/>
      <c r="D74" s="289"/>
      <c r="E74" s="289"/>
      <c r="F74" s="289"/>
    </row>
    <row r="75" spans="1:6">
      <c r="A75"/>
      <c r="B75"/>
      <c r="C75"/>
      <c r="D75" s="289"/>
      <c r="E75" s="289"/>
      <c r="F75" s="289"/>
    </row>
    <row r="76" spans="1:6">
      <c r="A76"/>
      <c r="B76"/>
      <c r="C76"/>
      <c r="D76" s="289"/>
      <c r="E76" s="289"/>
      <c r="F76" s="289"/>
    </row>
    <row r="77" spans="1:6">
      <c r="A77"/>
      <c r="B77"/>
      <c r="C77"/>
      <c r="D77" s="289"/>
      <c r="E77" s="289"/>
      <c r="F77" s="289"/>
    </row>
    <row r="78" spans="1:6">
      <c r="A78"/>
      <c r="B78"/>
      <c r="C78"/>
      <c r="D78" s="289"/>
      <c r="E78" s="289"/>
      <c r="F78" s="289"/>
    </row>
    <row r="79" spans="1:6">
      <c r="A79"/>
      <c r="B79"/>
      <c r="C79"/>
      <c r="D79" s="289"/>
      <c r="E79" s="289"/>
      <c r="F79" s="289"/>
    </row>
    <row r="80" spans="1:6">
      <c r="A80"/>
      <c r="B80"/>
      <c r="C80"/>
      <c r="D80" s="289"/>
      <c r="E80" s="289"/>
      <c r="F80" s="289"/>
    </row>
    <row r="81" spans="1:6">
      <c r="A81"/>
      <c r="B81"/>
      <c r="C81"/>
      <c r="D81" s="289"/>
      <c r="E81" s="289"/>
      <c r="F81" s="289"/>
    </row>
    <row r="82" spans="1:6">
      <c r="A82"/>
      <c r="B82"/>
      <c r="C82"/>
      <c r="D82" s="289"/>
      <c r="E82" s="289"/>
      <c r="F82" s="289"/>
    </row>
    <row r="83" spans="1:6">
      <c r="A83"/>
      <c r="B83"/>
      <c r="C83"/>
      <c r="D83" s="289"/>
      <c r="E83" s="289"/>
      <c r="F83" s="289"/>
    </row>
    <row r="84" spans="1:6">
      <c r="A84"/>
      <c r="B84"/>
      <c r="C84"/>
      <c r="D84" s="289"/>
      <c r="E84" s="289"/>
      <c r="F84" s="289"/>
    </row>
    <row r="85" spans="1:6">
      <c r="A85"/>
      <c r="B85"/>
      <c r="C85"/>
      <c r="D85" s="289"/>
      <c r="E85" s="289"/>
      <c r="F85" s="289"/>
    </row>
    <row r="86" spans="1:6">
      <c r="A86"/>
      <c r="B86"/>
      <c r="C86"/>
      <c r="D86" s="289"/>
      <c r="E86" s="289"/>
      <c r="F86" s="289"/>
    </row>
    <row r="87" spans="1:6">
      <c r="A87"/>
      <c r="B87"/>
      <c r="C87"/>
      <c r="D87" s="289"/>
      <c r="E87" s="289"/>
      <c r="F87" s="289"/>
    </row>
    <row r="126" spans="4:4" customFormat="1">
      <c r="D126" s="310"/>
    </row>
    <row r="127" spans="4:4" customFormat="1">
      <c r="D127" s="310"/>
    </row>
  </sheetData>
  <mergeCells count="4">
    <mergeCell ref="E2:F2"/>
    <mergeCell ref="E3:F3"/>
    <mergeCell ref="D4:D5"/>
    <mergeCell ref="E4:F4"/>
  </mergeCells>
  <conditionalFormatting sqref="E41">
    <cfRule type="beginsWith" dxfId="1" priority="1" operator="beginsWith" text="ISPUNJEN">
      <formula>LEFT(E41,LEN("ISPUNJEN"))="ISPUNJEN"</formula>
    </cfRule>
    <cfRule type="beginsWith" dxfId="0" priority="2" operator="beginsWith" text="NIJE ISPUNJEN">
      <formula>LEFT(E41,LEN("NIJE ISPUNJEN"))="NIJE ISPUNJEN"</formula>
    </cfRule>
  </conditionalFormatting>
  <pageMargins left="0.70866141732283472" right="0.70866141732283472" top="0.74803149606299213" bottom="0.74803149606299213" header="0.31496062992125984" footer="0.31496062992125984"/>
  <pageSetup paperSize="9" scale="80"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DX97"/>
  <sheetViews>
    <sheetView zoomScale="85" zoomScaleNormal="85" workbookViewId="0">
      <selection activeCell="Z15" sqref="Z15"/>
    </sheetView>
  </sheetViews>
  <sheetFormatPr defaultColWidth="9.140625" defaultRowHeight="12.75"/>
  <cols>
    <col min="1" max="2" width="9.140625" style="80" customWidth="1"/>
    <col min="3" max="3" width="55.85546875" style="80" bestFit="1" customWidth="1"/>
    <col min="4" max="4" width="7.140625" style="80" hidden="1" customWidth="1"/>
    <col min="5" max="5" width="6.85546875" style="80" hidden="1" customWidth="1"/>
    <col min="6" max="6" width="7.5703125" style="80" hidden="1" customWidth="1"/>
    <col min="7" max="7" width="6.85546875" style="80" hidden="1" customWidth="1"/>
    <col min="8" max="8" width="7.5703125" style="80" hidden="1" customWidth="1"/>
    <col min="9" max="9" width="6.85546875" style="80" hidden="1" customWidth="1"/>
    <col min="10" max="10" width="7.5703125" style="80" hidden="1" customWidth="1"/>
    <col min="11" max="11" width="6.85546875" style="80" hidden="1" customWidth="1"/>
    <col min="12" max="12" width="7.5703125" style="80" hidden="1" customWidth="1"/>
    <col min="13" max="13" width="6.85546875" style="80" hidden="1" customWidth="1"/>
    <col min="14" max="14" width="7.5703125" style="80" hidden="1" customWidth="1"/>
    <col min="15" max="15" width="6.85546875" style="81" hidden="1" customWidth="1"/>
    <col min="16" max="16" width="7.7109375" style="81" hidden="1" customWidth="1"/>
    <col min="17" max="17" width="6.140625" style="80" hidden="1" customWidth="1"/>
    <col min="18" max="18" width="12.7109375" style="80" bestFit="1" customWidth="1"/>
    <col min="19" max="19" width="7.42578125" style="80" customWidth="1"/>
    <col min="20" max="20" width="11.28515625" style="80" bestFit="1" customWidth="1"/>
    <col min="21" max="21" width="6" style="80" bestFit="1" customWidth="1"/>
    <col min="22" max="22" width="12.7109375" style="80" hidden="1" customWidth="1"/>
    <col min="23" max="23" width="11.7109375" style="80" hidden="1" customWidth="1"/>
    <col min="24" max="27" width="10" style="80" customWidth="1"/>
    <col min="28" max="28" width="7.7109375" style="80" customWidth="1"/>
    <col min="29" max="29" width="6.140625" style="80" customWidth="1"/>
    <col min="30" max="30" width="15" style="80" customWidth="1"/>
    <col min="31" max="31" width="11.28515625" style="80" bestFit="1" customWidth="1"/>
    <col min="32" max="32" width="6.140625" style="80" bestFit="1" customWidth="1"/>
    <col min="33" max="33" width="7.7109375" style="80" hidden="1" customWidth="1"/>
    <col min="34" max="34" width="6" style="80" hidden="1" customWidth="1"/>
    <col min="35" max="35" width="15" style="80" hidden="1" customWidth="1"/>
    <col min="36" max="36" width="11.28515625" style="80" bestFit="1" customWidth="1"/>
    <col min="37" max="37" width="6.140625" style="80" bestFit="1" customWidth="1"/>
    <col min="38" max="38" width="10.42578125" style="80" customWidth="1"/>
    <col min="39" max="39" width="6" style="80" bestFit="1" customWidth="1"/>
    <col min="40" max="40" width="6.85546875" style="80" customWidth="1"/>
    <col min="41" max="41" width="18.28515625" style="80" customWidth="1"/>
    <col min="42" max="42" width="13.85546875" style="80" customWidth="1"/>
    <col min="43" max="43" width="14.42578125" style="80" bestFit="1" customWidth="1"/>
    <col min="44" max="44" width="13.85546875" style="80" customWidth="1"/>
    <col min="45" max="45" width="12.5703125" style="80" bestFit="1" customWidth="1"/>
    <col min="46" max="46" width="9" style="163" bestFit="1" customWidth="1"/>
    <col min="47" max="120" width="9.140625" style="80" customWidth="1"/>
    <col min="121" max="121" width="9.140625" style="80"/>
    <col min="122" max="122" width="15.42578125" style="80" customWidth="1"/>
    <col min="123" max="123" width="12.7109375" style="80" customWidth="1"/>
    <col min="124" max="124" width="11.85546875" style="80" customWidth="1"/>
    <col min="125" max="16384" width="9.140625" style="80"/>
  </cols>
  <sheetData>
    <row r="1" spans="2:120" s="163" customFormat="1" ht="15" customHeight="1">
      <c r="C1" s="160"/>
      <c r="D1" s="119">
        <v>3</v>
      </c>
      <c r="E1" s="119">
        <v>4</v>
      </c>
      <c r="F1" s="119">
        <v>5</v>
      </c>
      <c r="G1" s="119">
        <v>6</v>
      </c>
      <c r="H1" s="119">
        <v>7</v>
      </c>
      <c r="I1" s="119">
        <v>8</v>
      </c>
      <c r="J1" s="119">
        <v>9</v>
      </c>
      <c r="K1" s="119">
        <v>10</v>
      </c>
      <c r="L1" s="119">
        <v>11</v>
      </c>
      <c r="M1" s="119">
        <v>12</v>
      </c>
      <c r="N1" s="119">
        <v>13</v>
      </c>
      <c r="O1" s="119">
        <v>14</v>
      </c>
      <c r="P1" s="119">
        <v>15</v>
      </c>
      <c r="Q1" s="119">
        <v>16</v>
      </c>
      <c r="R1" s="119">
        <v>17</v>
      </c>
      <c r="S1" s="119">
        <v>18</v>
      </c>
      <c r="T1" s="119">
        <v>19</v>
      </c>
      <c r="U1" s="119">
        <v>20</v>
      </c>
      <c r="V1" s="119">
        <v>21</v>
      </c>
      <c r="W1" s="119">
        <v>22</v>
      </c>
      <c r="X1" s="119">
        <v>25</v>
      </c>
      <c r="Y1" s="119">
        <v>26</v>
      </c>
      <c r="Z1" s="119">
        <v>27</v>
      </c>
      <c r="AA1" s="119">
        <v>28</v>
      </c>
      <c r="AB1" s="119">
        <v>29</v>
      </c>
      <c r="AC1" s="119">
        <v>30</v>
      </c>
      <c r="AD1" s="119">
        <v>31</v>
      </c>
      <c r="AE1" s="119">
        <v>32</v>
      </c>
      <c r="AF1" s="119">
        <v>33</v>
      </c>
      <c r="AG1" s="119">
        <v>34</v>
      </c>
      <c r="AH1" s="119">
        <v>35</v>
      </c>
      <c r="AI1" s="119">
        <v>36</v>
      </c>
      <c r="AJ1" s="119">
        <v>37</v>
      </c>
      <c r="AK1" s="119">
        <v>38</v>
      </c>
      <c r="AL1" s="119">
        <v>39</v>
      </c>
      <c r="AM1" s="119">
        <v>40</v>
      </c>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row>
    <row r="2" spans="2:120" ht="15" hidden="1" customHeight="1">
      <c r="C2" s="81"/>
      <c r="D2" s="82"/>
      <c r="E2" s="82"/>
      <c r="F2" s="82"/>
      <c r="G2" s="82"/>
      <c r="H2" s="82"/>
      <c r="I2" s="82"/>
      <c r="J2" s="82"/>
      <c r="K2" s="82"/>
      <c r="L2" s="82"/>
      <c r="M2" s="82"/>
      <c r="N2" s="82"/>
      <c r="O2" s="82"/>
      <c r="P2" s="82"/>
      <c r="Q2" s="82"/>
      <c r="R2" s="119"/>
      <c r="S2" s="133"/>
      <c r="T2" s="134"/>
      <c r="U2" s="144">
        <v>2014</v>
      </c>
      <c r="V2" s="144">
        <v>2015</v>
      </c>
      <c r="W2" s="157">
        <v>2016</v>
      </c>
      <c r="X2" s="145">
        <v>2017</v>
      </c>
      <c r="AE2" s="149"/>
      <c r="AF2" s="149"/>
      <c r="AG2" s="81"/>
      <c r="AH2" s="81"/>
      <c r="AI2" s="81"/>
      <c r="AJ2" s="81"/>
      <c r="AK2" s="81"/>
      <c r="AL2" s="81"/>
      <c r="AM2" s="81"/>
      <c r="AN2" s="81"/>
      <c r="AO2" s="81"/>
      <c r="AP2" s="81"/>
      <c r="AQ2" s="81"/>
      <c r="AR2" s="81"/>
      <c r="AS2" s="81"/>
      <c r="AT2" s="160"/>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row>
    <row r="3" spans="2:120" ht="15" hidden="1" customHeight="1">
      <c r="C3" s="81"/>
      <c r="D3" s="82"/>
      <c r="E3" s="82"/>
      <c r="F3" s="82"/>
      <c r="G3" s="82"/>
      <c r="H3" s="82"/>
      <c r="I3" s="82"/>
      <c r="J3" s="82"/>
      <c r="K3" s="82"/>
      <c r="L3" s="82"/>
      <c r="M3" s="82"/>
      <c r="N3" s="82"/>
      <c r="O3" s="82"/>
      <c r="P3" s="82"/>
      <c r="Q3" s="82"/>
      <c r="R3" s="121"/>
      <c r="S3" s="135" t="s">
        <v>435</v>
      </c>
      <c r="T3" s="136"/>
      <c r="U3" s="137">
        <v>5.4037200000000007</v>
      </c>
      <c r="V3" s="137">
        <v>5.5699999999999861</v>
      </c>
      <c r="W3" s="137">
        <v>5.8760000000000145</v>
      </c>
      <c r="X3" s="138">
        <v>6.0799999999999965</v>
      </c>
      <c r="AE3" s="150"/>
      <c r="AF3" s="150"/>
      <c r="AG3" s="81"/>
      <c r="AH3" s="81"/>
      <c r="AI3" s="81"/>
      <c r="AJ3" s="81"/>
      <c r="AK3" s="81"/>
      <c r="AL3" s="81"/>
      <c r="AM3" s="81"/>
      <c r="AN3" s="81"/>
      <c r="AO3" s="81"/>
      <c r="AP3" s="81"/>
      <c r="AQ3" s="81"/>
      <c r="AR3" s="81"/>
      <c r="AS3" s="81"/>
      <c r="AT3" s="160"/>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row>
    <row r="4" spans="2:120" ht="15" hidden="1" customHeight="1">
      <c r="C4" s="81"/>
      <c r="D4" s="82"/>
      <c r="E4" s="82"/>
      <c r="F4" s="82"/>
      <c r="G4" s="82"/>
      <c r="H4" s="82"/>
      <c r="I4" s="82"/>
      <c r="J4" s="82"/>
      <c r="K4" s="82"/>
      <c r="L4" s="82"/>
      <c r="M4" s="82"/>
      <c r="N4" s="82"/>
      <c r="O4" s="82"/>
      <c r="P4" s="82"/>
      <c r="Q4" s="82"/>
      <c r="R4" s="120"/>
      <c r="S4" s="126" t="s">
        <v>436</v>
      </c>
      <c r="T4" s="127"/>
      <c r="U4" s="124">
        <v>3.54</v>
      </c>
      <c r="V4" s="124">
        <v>3.5</v>
      </c>
      <c r="W4" s="124">
        <v>3.8</v>
      </c>
      <c r="X4" s="125">
        <v>4</v>
      </c>
      <c r="AE4" s="150"/>
      <c r="AF4" s="150"/>
      <c r="AG4" s="81"/>
      <c r="AH4" s="81"/>
      <c r="AI4" s="81"/>
      <c r="AJ4" s="81"/>
      <c r="AK4" s="81"/>
      <c r="AL4" s="81"/>
      <c r="AM4" s="81"/>
      <c r="AN4" s="81"/>
      <c r="AO4" s="81"/>
      <c r="AP4" s="81"/>
      <c r="AQ4" s="81"/>
      <c r="AR4" s="81"/>
      <c r="AS4" s="81"/>
      <c r="AT4" s="160"/>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row>
    <row r="5" spans="2:120" ht="15" hidden="1" customHeight="1">
      <c r="C5" s="81"/>
      <c r="D5" s="82"/>
      <c r="E5" s="82"/>
      <c r="F5" s="82"/>
      <c r="G5" s="82"/>
      <c r="H5" s="82"/>
      <c r="I5" s="82"/>
      <c r="J5" s="82"/>
      <c r="K5" s="82"/>
      <c r="L5" s="82"/>
      <c r="M5" s="82"/>
      <c r="N5" s="82"/>
      <c r="O5" s="82"/>
      <c r="P5" s="82"/>
      <c r="Q5" s="82"/>
      <c r="R5" s="121"/>
      <c r="S5" s="139" t="s">
        <v>226</v>
      </c>
      <c r="T5" s="140"/>
      <c r="U5" s="141">
        <v>1.8</v>
      </c>
      <c r="V5" s="141">
        <v>2</v>
      </c>
      <c r="W5" s="158">
        <v>2</v>
      </c>
      <c r="X5" s="156">
        <v>2</v>
      </c>
      <c r="AE5" s="151"/>
      <c r="AF5" s="151"/>
      <c r="AG5" s="81"/>
      <c r="AH5" s="81"/>
      <c r="AI5" s="81"/>
      <c r="AJ5" s="81"/>
      <c r="AK5" s="81"/>
      <c r="AL5" s="81"/>
      <c r="AM5" s="81"/>
      <c r="AN5" s="81"/>
      <c r="AO5" s="81"/>
      <c r="AP5" s="81"/>
      <c r="AQ5" s="81"/>
      <c r="AR5" s="81"/>
      <c r="AS5" s="81"/>
      <c r="AT5" s="160"/>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row>
    <row r="6" spans="2:120" ht="15" hidden="1" customHeight="1">
      <c r="C6" s="81"/>
      <c r="D6" s="82"/>
      <c r="E6" s="82"/>
      <c r="F6" s="82"/>
      <c r="G6" s="82"/>
      <c r="H6" s="82"/>
      <c r="I6" s="82"/>
      <c r="J6" s="82"/>
      <c r="K6" s="82"/>
      <c r="L6" s="82"/>
      <c r="M6" s="82"/>
      <c r="N6" s="82"/>
      <c r="O6" s="82"/>
      <c r="P6" s="82"/>
      <c r="Q6" s="82"/>
      <c r="R6" s="82"/>
      <c r="S6" s="142" t="s">
        <v>439</v>
      </c>
      <c r="T6" s="143"/>
      <c r="U6" s="155">
        <v>2.3E-2</v>
      </c>
      <c r="V6" s="155">
        <v>2.6499999999999999E-2</v>
      </c>
      <c r="W6" s="155">
        <v>4.4999999999999998E-2</v>
      </c>
      <c r="X6" s="155">
        <v>5.1999999999999998E-2</v>
      </c>
      <c r="AE6" s="148"/>
      <c r="AF6" s="148"/>
      <c r="AG6" s="81"/>
      <c r="AH6" s="81"/>
      <c r="AI6" s="81"/>
      <c r="AJ6" s="81"/>
      <c r="AK6" s="81"/>
      <c r="AL6" s="81"/>
      <c r="AM6" s="81"/>
      <c r="AN6" s="81"/>
      <c r="AO6" s="81"/>
      <c r="AP6" s="81"/>
      <c r="AQ6" s="81"/>
      <c r="AR6" s="81"/>
      <c r="AS6" s="81"/>
      <c r="AT6" s="160"/>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row>
    <row r="7" spans="2:120" ht="15" hidden="1" customHeight="1">
      <c r="C7" s="81"/>
      <c r="D7" s="82"/>
      <c r="E7" s="82"/>
      <c r="F7" s="82"/>
      <c r="G7" s="82"/>
      <c r="H7" s="82"/>
      <c r="I7" s="82"/>
      <c r="J7" s="82"/>
      <c r="K7" s="82"/>
      <c r="L7" s="82"/>
      <c r="M7" s="82"/>
      <c r="N7" s="82"/>
      <c r="O7" s="82"/>
      <c r="P7" s="82"/>
      <c r="Q7" s="82"/>
      <c r="R7" s="82"/>
      <c r="S7" s="128"/>
      <c r="T7" s="129"/>
      <c r="U7" s="129"/>
      <c r="V7" s="129"/>
      <c r="W7" s="159"/>
      <c r="X7" s="130"/>
      <c r="AE7" s="178">
        <f>+X16-T16</f>
        <v>-1268056399.4371703</v>
      </c>
      <c r="AF7" s="81"/>
      <c r="AG7" s="81"/>
      <c r="AH7" s="81"/>
      <c r="AI7" s="81"/>
      <c r="AJ7" s="81"/>
      <c r="AK7" s="81"/>
      <c r="AL7" s="81"/>
      <c r="AM7" s="81"/>
      <c r="AN7" s="81"/>
      <c r="AO7" s="81"/>
      <c r="AP7" s="81"/>
      <c r="AQ7" s="81"/>
      <c r="AR7" s="81"/>
      <c r="AS7" s="81"/>
      <c r="AT7" s="160"/>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row>
    <row r="8" spans="2:120" ht="15" hidden="1" customHeight="1">
      <c r="C8" s="81"/>
      <c r="D8" s="82"/>
      <c r="E8" s="82"/>
      <c r="F8" s="82"/>
      <c r="G8" s="82"/>
      <c r="H8" s="82"/>
      <c r="I8" s="82"/>
      <c r="J8" s="82"/>
      <c r="K8" s="82"/>
      <c r="L8" s="82"/>
      <c r="M8" s="82"/>
      <c r="N8" s="82"/>
      <c r="O8" s="82"/>
      <c r="P8" s="82"/>
      <c r="Q8" s="82"/>
      <c r="R8" s="82"/>
      <c r="S8" s="122" t="s">
        <v>437</v>
      </c>
      <c r="T8" s="123"/>
      <c r="U8" s="146">
        <f>+X16/T16*100-100</f>
        <v>-100</v>
      </c>
      <c r="V8" s="146" t="e">
        <f>+AE16/AB16*100-100</f>
        <v>#DIV/0!</v>
      </c>
      <c r="W8" s="146" t="e">
        <f>+AJ16/AG16*100-100</f>
        <v>#DIV/0!</v>
      </c>
      <c r="X8" s="152" t="e">
        <f>+AK16/AH16*100-100</f>
        <v>#DIV/0!</v>
      </c>
      <c r="AE8" s="81"/>
      <c r="AF8" s="81"/>
      <c r="AG8" s="81"/>
      <c r="AH8" s="81"/>
      <c r="AI8" s="81"/>
      <c r="AJ8" s="81"/>
      <c r="AK8" s="81"/>
      <c r="AL8" s="81"/>
      <c r="AM8" s="81"/>
      <c r="AN8" s="81"/>
      <c r="AO8" s="81"/>
      <c r="AP8" s="81"/>
      <c r="AQ8" s="81"/>
      <c r="AR8" s="81"/>
      <c r="AS8" s="81"/>
      <c r="AT8" s="160"/>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row>
    <row r="9" spans="2:120" ht="15" hidden="1" customHeight="1">
      <c r="C9" s="81"/>
      <c r="D9" s="82"/>
      <c r="E9" s="82"/>
      <c r="F9" s="82"/>
      <c r="G9" s="82"/>
      <c r="H9" s="82"/>
      <c r="I9" s="82"/>
      <c r="J9" s="82"/>
      <c r="K9" s="82"/>
      <c r="L9" s="82"/>
      <c r="M9" s="82"/>
      <c r="N9" s="82"/>
      <c r="O9" s="82"/>
      <c r="P9" s="82"/>
      <c r="Q9" s="82"/>
      <c r="R9" s="82"/>
      <c r="S9" s="131" t="s">
        <v>438</v>
      </c>
      <c r="T9" s="132"/>
      <c r="U9" s="147">
        <f>+X16/R16*100-100</f>
        <v>-100</v>
      </c>
      <c r="V9" s="147" t="e">
        <f>+AE16/X16*100-100</f>
        <v>#DIV/0!</v>
      </c>
      <c r="W9" s="147" t="e">
        <f>+AJ16/AE16*100-100</f>
        <v>#DIV/0!</v>
      </c>
      <c r="X9" s="153" t="e">
        <f>+AK16/AF16*100-100</f>
        <v>#DIV/0!</v>
      </c>
      <c r="AE9" s="81"/>
      <c r="AF9" s="81"/>
      <c r="AG9" s="81"/>
      <c r="AH9" s="81"/>
      <c r="AI9" s="81"/>
      <c r="AJ9" s="81"/>
      <c r="AK9" s="81"/>
      <c r="AL9" s="81"/>
      <c r="AM9" s="81"/>
      <c r="AN9" s="81"/>
      <c r="AO9" s="81"/>
      <c r="AP9" s="81"/>
      <c r="AQ9" s="81"/>
      <c r="AR9" s="81"/>
      <c r="AS9" s="81"/>
      <c r="AT9" s="160"/>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row>
    <row r="10" spans="2:120" ht="15" customHeight="1" thickBot="1">
      <c r="C10" s="81"/>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1"/>
      <c r="AD10" s="81"/>
      <c r="AE10" s="81"/>
      <c r="AF10" s="81"/>
      <c r="AG10" s="81"/>
      <c r="AH10" s="81"/>
      <c r="AI10" s="81"/>
      <c r="AJ10" s="81"/>
      <c r="AK10" s="81"/>
      <c r="AL10" s="81"/>
      <c r="AM10" s="81"/>
      <c r="AN10" s="81"/>
      <c r="AO10" s="81"/>
      <c r="AP10" s="81"/>
      <c r="AQ10" s="81"/>
      <c r="AR10" s="81"/>
      <c r="AS10" s="81"/>
      <c r="AT10" s="160"/>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row>
    <row r="11" spans="2:120" ht="18.75" customHeight="1" thickTop="1" thickBot="1">
      <c r="C11" s="216" t="str">
        <f>IF(MasterSheet!$A$1=1,MasterSheet!B67,MasterSheet!B66)</f>
        <v>BDP (u mil. €)</v>
      </c>
      <c r="D11" s="435">
        <v>2148900000</v>
      </c>
      <c r="E11" s="436"/>
      <c r="F11" s="433">
        <v>2680500000</v>
      </c>
      <c r="G11" s="434"/>
      <c r="H11" s="433">
        <v>3085600000</v>
      </c>
      <c r="I11" s="434"/>
      <c r="J11" s="433">
        <v>2981000000</v>
      </c>
      <c r="K11" s="434"/>
      <c r="L11" s="433">
        <v>3104000000</v>
      </c>
      <c r="M11" s="434"/>
      <c r="N11" s="433">
        <v>3234000000</v>
      </c>
      <c r="O11" s="434"/>
      <c r="P11" s="438">
        <v>3149000000</v>
      </c>
      <c r="Q11" s="438"/>
      <c r="R11" s="437">
        <v>3335894492.1291356</v>
      </c>
      <c r="S11" s="437"/>
      <c r="T11" s="437">
        <v>3516156889.9792166</v>
      </c>
      <c r="U11" s="437"/>
      <c r="V11" s="435"/>
      <c r="W11" s="436"/>
      <c r="X11" s="437">
        <f>+T11</f>
        <v>3516156889.9792166</v>
      </c>
      <c r="Y11" s="437"/>
      <c r="Z11" s="437">
        <f>+X11</f>
        <v>3516156889.9792166</v>
      </c>
      <c r="AA11" s="437"/>
      <c r="AB11" s="437">
        <v>3712006828.7510591</v>
      </c>
      <c r="AC11" s="437"/>
      <c r="AD11" s="233"/>
      <c r="AE11" s="437">
        <v>3712006828.7510591</v>
      </c>
      <c r="AF11" s="437"/>
      <c r="AG11" s="437">
        <v>3930124350.0084715</v>
      </c>
      <c r="AH11" s="437"/>
      <c r="AI11" s="233"/>
      <c r="AJ11" s="437">
        <v>3930124350.0084715</v>
      </c>
      <c r="AK11" s="437"/>
      <c r="AL11" s="437">
        <v>4169075910.4889903</v>
      </c>
      <c r="AM11" s="437"/>
      <c r="AN11" s="208"/>
      <c r="AO11" s="81"/>
      <c r="AP11" s="81"/>
      <c r="AQ11" s="81"/>
      <c r="AR11" s="81"/>
      <c r="AS11" s="81"/>
      <c r="AT11" s="160"/>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row>
    <row r="12" spans="2:120" ht="19.5" customHeight="1" thickTop="1">
      <c r="C12" s="228"/>
      <c r="D12" s="82"/>
      <c r="E12" s="82"/>
      <c r="F12" s="82"/>
      <c r="G12" s="82"/>
      <c r="H12" s="82"/>
      <c r="I12" s="82"/>
      <c r="J12" s="82"/>
      <c r="K12" s="82"/>
      <c r="L12" s="82"/>
      <c r="M12" s="82"/>
      <c r="N12" s="82"/>
      <c r="O12" s="82"/>
      <c r="P12" s="413"/>
      <c r="Q12" s="413"/>
      <c r="R12" s="415" t="s">
        <v>337</v>
      </c>
      <c r="S12" s="415"/>
      <c r="T12" s="83"/>
      <c r="U12" s="83"/>
      <c r="V12" s="82"/>
      <c r="W12" s="82"/>
      <c r="X12" s="82"/>
      <c r="Y12" s="82"/>
      <c r="Z12" s="82"/>
      <c r="AA12" s="82"/>
      <c r="AB12" s="82"/>
      <c r="AC12" s="84"/>
      <c r="AD12" s="84"/>
      <c r="AE12" s="84"/>
      <c r="AF12" s="84"/>
      <c r="AG12" s="84"/>
      <c r="AH12" s="84"/>
      <c r="AI12" s="84"/>
      <c r="AJ12" s="84"/>
      <c r="AK12" s="84"/>
      <c r="AL12" s="84"/>
      <c r="AM12" s="84"/>
      <c r="AN12" s="84"/>
      <c r="AO12" s="81"/>
      <c r="AP12" s="81"/>
      <c r="AQ12" s="81"/>
      <c r="AR12" s="81"/>
      <c r="AS12" s="81"/>
      <c r="AT12" s="160"/>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row>
    <row r="13" spans="2:120" ht="17.25" customHeight="1" thickBot="1">
      <c r="B13" s="85"/>
      <c r="C13" s="229"/>
      <c r="D13" s="86"/>
      <c r="E13" s="86"/>
      <c r="F13" s="86"/>
      <c r="G13" s="86"/>
      <c r="H13" s="86"/>
      <c r="I13" s="86"/>
      <c r="J13" s="86"/>
      <c r="K13" s="86"/>
      <c r="L13" s="86"/>
      <c r="M13" s="86"/>
      <c r="N13" s="418"/>
      <c r="O13" s="418"/>
      <c r="P13" s="414"/>
      <c r="Q13" s="414"/>
      <c r="R13" s="416"/>
      <c r="S13" s="416"/>
      <c r="T13" s="209"/>
      <c r="U13" s="209"/>
      <c r="V13" s="209"/>
      <c r="W13" s="209"/>
      <c r="X13" s="209"/>
      <c r="Y13" s="209"/>
      <c r="Z13" s="209"/>
      <c r="AA13" s="209"/>
      <c r="AB13" s="209"/>
      <c r="AC13" s="209"/>
      <c r="AD13" s="209"/>
      <c r="AE13" s="209"/>
      <c r="AF13" s="209"/>
      <c r="AG13" s="209"/>
      <c r="AH13" s="84"/>
      <c r="AI13" s="84"/>
      <c r="AJ13" s="84"/>
      <c r="AK13" s="84"/>
      <c r="AL13" s="84"/>
      <c r="AM13" s="84"/>
      <c r="AN13" s="84"/>
      <c r="AO13" s="81"/>
      <c r="AP13" s="81"/>
      <c r="AQ13" s="81"/>
      <c r="AR13" s="81"/>
      <c r="AS13" s="164"/>
      <c r="AT13" s="165"/>
      <c r="AU13" s="164"/>
      <c r="AV13" s="164"/>
      <c r="AW13" s="164"/>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row>
    <row r="14" spans="2:120" ht="15.75" customHeight="1" thickTop="1">
      <c r="B14" s="87"/>
      <c r="C14" s="439" t="s">
        <v>456</v>
      </c>
      <c r="D14" s="441">
        <v>2006</v>
      </c>
      <c r="E14" s="442"/>
      <c r="F14" s="441">
        <v>2007</v>
      </c>
      <c r="G14" s="442"/>
      <c r="H14" s="441">
        <v>2008</v>
      </c>
      <c r="I14" s="442"/>
      <c r="J14" s="441">
        <v>2009</v>
      </c>
      <c r="K14" s="442"/>
      <c r="L14" s="441">
        <v>2010</v>
      </c>
      <c r="M14" s="442"/>
      <c r="N14" s="441">
        <v>2011</v>
      </c>
      <c r="O14" s="442"/>
      <c r="P14" s="441">
        <v>2012</v>
      </c>
      <c r="Q14" s="442"/>
      <c r="R14" s="443">
        <v>2013</v>
      </c>
      <c r="S14" s="444"/>
      <c r="T14" s="443" t="s">
        <v>393</v>
      </c>
      <c r="U14" s="444"/>
      <c r="V14" s="445" t="s">
        <v>444</v>
      </c>
      <c r="W14" s="445"/>
      <c r="X14" s="443" t="s">
        <v>434</v>
      </c>
      <c r="Y14" s="444"/>
      <c r="Z14" s="443" t="s">
        <v>468</v>
      </c>
      <c r="AA14" s="444"/>
      <c r="AB14" s="443" t="s">
        <v>440</v>
      </c>
      <c r="AC14" s="444"/>
      <c r="AD14" s="447" t="s">
        <v>443</v>
      </c>
      <c r="AE14" s="449" t="s">
        <v>442</v>
      </c>
      <c r="AF14" s="450"/>
      <c r="AG14" s="443" t="s">
        <v>441</v>
      </c>
      <c r="AH14" s="444"/>
      <c r="AI14" s="451" t="s">
        <v>443</v>
      </c>
      <c r="AJ14" s="443" t="s">
        <v>445</v>
      </c>
      <c r="AK14" s="444"/>
      <c r="AL14" s="443" t="s">
        <v>446</v>
      </c>
      <c r="AM14" s="444"/>
      <c r="AO14" s="102"/>
      <c r="AP14" s="102"/>
      <c r="AQ14" s="102"/>
      <c r="AR14" s="102"/>
      <c r="AS14" s="116"/>
      <c r="AT14" s="160"/>
      <c r="AU14" s="102"/>
      <c r="AV14" s="102"/>
      <c r="AW14" s="102"/>
      <c r="AX14" s="102"/>
      <c r="AY14" s="102"/>
      <c r="AZ14" s="102"/>
      <c r="BA14" s="102"/>
      <c r="BB14" s="102"/>
      <c r="BC14" s="102"/>
      <c r="BD14" s="102"/>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row>
    <row r="15" spans="2:120" ht="15" customHeight="1" thickBot="1">
      <c r="C15" s="440" t="str">
        <f>IF(MasterSheet!$A$1=1,MasterSheet!B71,MasterSheet!B70)</f>
        <v>Budžet Crne Gore</v>
      </c>
      <c r="D15" s="217" t="str">
        <f>IF(MasterSheet!$A$1=1,MasterSheet!C71,MasterSheet!C70)</f>
        <v>mil. €</v>
      </c>
      <c r="E15" s="218" t="str">
        <f>IF(MasterSheet!$A$1=1,MasterSheet!D71,MasterSheet!D70)</f>
        <v>% BDP</v>
      </c>
      <c r="F15" s="219" t="str">
        <f>IF(MasterSheet!$A$1=1,MasterSheet!E71,MasterSheet!E70)</f>
        <v>mil. €</v>
      </c>
      <c r="G15" s="220" t="str">
        <f>IF(MasterSheet!$A$1=1,MasterSheet!F71,MasterSheet!F70)</f>
        <v>% BDP</v>
      </c>
      <c r="H15" s="221" t="str">
        <f>IF(MasterSheet!$A$1=1,MasterSheet!G71,MasterSheet!G70)</f>
        <v>mil. €</v>
      </c>
      <c r="I15" s="220" t="str">
        <f>IF(MasterSheet!$A$1=1,MasterSheet!H71,MasterSheet!H70)</f>
        <v>% BDP</v>
      </c>
      <c r="J15" s="217" t="str">
        <f>IF(MasterSheet!$A$1=1,MasterSheet!I71,MasterSheet!I70)</f>
        <v>mil. €</v>
      </c>
      <c r="K15" s="219" t="str">
        <f>IF(MasterSheet!$A$1=1,MasterSheet!J71,MasterSheet!J70)</f>
        <v>% BDP</v>
      </c>
      <c r="L15" s="217" t="str">
        <f>IF(MasterSheet!$A$1=1,MasterSheet!K71,MasterSheet!K70)</f>
        <v>mil. €</v>
      </c>
      <c r="M15" s="218" t="str">
        <f>IF(MasterSheet!$A$1=1,MasterSheet!L71,MasterSheet!L70)</f>
        <v>% BDP</v>
      </c>
      <c r="N15" s="217" t="str">
        <f>IF(MasterSheet!$A$1=1,MasterSheet!M71,MasterSheet!M70)</f>
        <v>mil. €</v>
      </c>
      <c r="O15" s="219" t="str">
        <f>IF(MasterSheet!$A$1=1,MasterSheet!N71,MasterSheet!N70)</f>
        <v>% BDP</v>
      </c>
      <c r="P15" s="217" t="str">
        <f>IF(MasterSheet!$A$1=1,MasterSheet!O71,MasterSheet!O70)</f>
        <v>mil. €</v>
      </c>
      <c r="Q15" s="219" t="str">
        <f>IF(MasterSheet!$A$1=1,MasterSheet!P71,MasterSheet!P70)</f>
        <v>% BDP</v>
      </c>
      <c r="R15" s="222" t="str">
        <f>IF(MasterSheet!$A$1=1,MasterSheet!S71,MasterSheet!S70)</f>
        <v>mil. €</v>
      </c>
      <c r="S15" s="223" t="str">
        <f>IF(MasterSheet!$A$1=1,MasterSheet!T71,MasterSheet!T70)</f>
        <v>% BDP</v>
      </c>
      <c r="T15" s="222" t="s">
        <v>263</v>
      </c>
      <c r="U15" s="223" t="s">
        <v>150</v>
      </c>
      <c r="V15" s="446"/>
      <c r="W15" s="446"/>
      <c r="X15" s="222" t="s">
        <v>263</v>
      </c>
      <c r="Y15" s="223" t="s">
        <v>150</v>
      </c>
      <c r="Z15" s="222" t="s">
        <v>263</v>
      </c>
      <c r="AA15" s="223" t="s">
        <v>150</v>
      </c>
      <c r="AB15" s="222" t="str">
        <f>IF(MasterSheet!$A$1=1,MasterSheet!U71,MasterSheet!U70)</f>
        <v>mil. €</v>
      </c>
      <c r="AC15" s="223" t="str">
        <f>IF(MasterSheet!$A$1=1,MasterSheet!V71,MasterSheet!V70)</f>
        <v>% BDP</v>
      </c>
      <c r="AD15" s="448"/>
      <c r="AE15" s="222" t="str">
        <f>+AB15</f>
        <v>mil. €</v>
      </c>
      <c r="AF15" s="224" t="str">
        <f>+AC15</f>
        <v>% BDP</v>
      </c>
      <c r="AG15" s="222" t="s">
        <v>263</v>
      </c>
      <c r="AH15" s="223" t="s">
        <v>150</v>
      </c>
      <c r="AI15" s="452"/>
      <c r="AJ15" s="222" t="s">
        <v>263</v>
      </c>
      <c r="AK15" s="223" t="s">
        <v>150</v>
      </c>
      <c r="AL15" s="222" t="str">
        <f>+AJ15</f>
        <v>mil. €</v>
      </c>
      <c r="AM15" s="223" t="str">
        <f>+AK15</f>
        <v>% BDP</v>
      </c>
      <c r="AO15" s="102"/>
      <c r="AP15" s="102"/>
      <c r="AQ15" s="102"/>
      <c r="AR15" s="102"/>
      <c r="AS15" s="166"/>
      <c r="AT15" s="160"/>
      <c r="AU15" s="102"/>
      <c r="AV15" s="102"/>
      <c r="AW15" s="102"/>
      <c r="AX15" s="102"/>
      <c r="AY15" s="102"/>
      <c r="AZ15" s="102"/>
      <c r="BA15" s="102"/>
      <c r="BB15" s="102"/>
      <c r="BC15" s="102"/>
      <c r="BD15" s="102"/>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row>
    <row r="16" spans="2:120" ht="15" customHeight="1" thickTop="1" thickBot="1">
      <c r="C16" s="234" t="str">
        <f>IF(MasterSheet!$A$1=1,MasterSheet!C72,MasterSheet!B72)</f>
        <v>Izvorni prihodi</v>
      </c>
      <c r="D16" s="230">
        <f>D17+D26+D31+D32+D33+D34</f>
        <v>861248548.43999958</v>
      </c>
      <c r="E16" s="226">
        <f t="shared" ref="E16:E47" si="0">D16/D$11*100</f>
        <v>40.07857733910371</v>
      </c>
      <c r="F16" s="230">
        <f>F17+F26+F31+F32+F33+F34</f>
        <v>1128300449.6399999</v>
      </c>
      <c r="G16" s="226">
        <f t="shared" ref="G16:G47" si="1">F16/F$11*100</f>
        <v>42.092909891438154</v>
      </c>
      <c r="H16" s="230">
        <f>H17+H26+H31+H32+H33+H34</f>
        <v>1287200216.2899997</v>
      </c>
      <c r="I16" s="226">
        <f t="shared" ref="I16:I47" si="2">H16/H$11*100</f>
        <v>41.716366874837945</v>
      </c>
      <c r="J16" s="230">
        <f>J17+J26+J31+J32+J33+J34</f>
        <v>1169267417.6000001</v>
      </c>
      <c r="K16" s="226">
        <f t="shared" ref="K16:K47" si="3">J16/J$11*100</f>
        <v>39.223999248574309</v>
      </c>
      <c r="L16" s="230">
        <f>L17+L26+L31+L32+L33+L34</f>
        <v>1140357804.0200005</v>
      </c>
      <c r="M16" s="226">
        <f t="shared" ref="M16:M39" si="4">L16/L$11*100</f>
        <v>36.738331315077332</v>
      </c>
      <c r="N16" s="230">
        <f>N17+N26+N31+N32+N33+N34</f>
        <v>1129142807.0900002</v>
      </c>
      <c r="O16" s="226">
        <f t="shared" ref="O16:O74" si="5">N16/N$11*100</f>
        <v>34.914743571119359</v>
      </c>
      <c r="P16" s="230">
        <f>P17+P26+P31+P32+P33+P34</f>
        <v>1121018319.5799999</v>
      </c>
      <c r="Q16" s="226">
        <f t="shared" ref="Q16:Q74" si="6">P16/P$11*100</f>
        <v>35.59918448967926</v>
      </c>
      <c r="R16" s="230">
        <f>R17+R26+R31+R32+R33+R34</f>
        <v>1235146379.48</v>
      </c>
      <c r="S16" s="226">
        <f t="shared" ref="S16:S74" si="7">R16/R$11*100</f>
        <v>37.025942588839719</v>
      </c>
      <c r="T16" s="230">
        <f>T17+T26+T31+T32+T33+T34</f>
        <v>1268056399.4371703</v>
      </c>
      <c r="U16" s="226">
        <f t="shared" ref="U16:U74" si="8">T16/T$11*100</f>
        <v>36.063703614905123</v>
      </c>
      <c r="V16" s="231"/>
      <c r="W16" s="231"/>
      <c r="X16" s="230">
        <f>X17+X26+X31+X32+X33+X34</f>
        <v>0</v>
      </c>
      <c r="Y16" s="226">
        <f t="shared" ref="Y16:Y74" si="9">X16/X$11*100</f>
        <v>0</v>
      </c>
      <c r="Z16" s="230">
        <f>Z17+Z26+Z31+Z32+Z33+Z34</f>
        <v>0</v>
      </c>
      <c r="AA16" s="226">
        <f t="shared" ref="AA16:AA40" si="10">Z16/Z$11*100</f>
        <v>0</v>
      </c>
      <c r="AB16" s="230">
        <f>AB17+AB26+AB31+AB32+AB33+AB34</f>
        <v>0</v>
      </c>
      <c r="AC16" s="226">
        <f>AB16/AB$11*100</f>
        <v>0</v>
      </c>
      <c r="AD16" s="231"/>
      <c r="AE16" s="230">
        <f>AE17+AE26+AE31+AE32+AE33+AE34</f>
        <v>0</v>
      </c>
      <c r="AF16" s="226">
        <f t="shared" ref="AF16:AF74" si="11">AE16/AE$11*100</f>
        <v>0</v>
      </c>
      <c r="AG16" s="230">
        <f>AG17+AG26+AG31+AG32+AG33+AG34</f>
        <v>0</v>
      </c>
      <c r="AH16" s="226">
        <f>AG16/AG$11*100</f>
        <v>0</v>
      </c>
      <c r="AI16" s="231"/>
      <c r="AJ16" s="230">
        <f>AJ17+AJ26+AJ31+AJ32+AJ33+AJ34</f>
        <v>0</v>
      </c>
      <c r="AK16" s="226">
        <f t="shared" ref="AK16:AK74" si="12">AJ16/AJ$11*100</f>
        <v>0</v>
      </c>
      <c r="AL16" s="232">
        <f>AL17+AL26+AL31+AL32+AL33+AL34</f>
        <v>0</v>
      </c>
      <c r="AM16" s="226">
        <f t="shared" ref="AM16:AM74" si="13">AL16/AL$11*100</f>
        <v>0</v>
      </c>
      <c r="AO16" s="102"/>
      <c r="AP16" s="102"/>
      <c r="AQ16" s="102"/>
      <c r="AR16" s="102"/>
      <c r="AS16" s="167"/>
      <c r="AT16" s="168"/>
      <c r="AU16" s="102"/>
      <c r="AV16" s="102"/>
      <c r="AW16" s="102"/>
      <c r="AX16" s="102"/>
      <c r="AY16" s="102"/>
      <c r="AZ16" s="102"/>
      <c r="BA16" s="102"/>
      <c r="BB16" s="102"/>
      <c r="BC16" s="102"/>
      <c r="BD16" s="102"/>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row>
    <row r="17" spans="2:125" ht="15" customHeight="1" thickTop="1">
      <c r="C17" s="94" t="str">
        <f>IF(MasterSheet!$A$1=1,MasterSheet!C73,MasterSheet!B73)</f>
        <v>Porezi</v>
      </c>
      <c r="D17" s="189">
        <f>SUM(D18:D25)</f>
        <v>499381748.50999969</v>
      </c>
      <c r="E17" s="96">
        <f t="shared" si="0"/>
        <v>23.238947764437604</v>
      </c>
      <c r="F17" s="189">
        <f>SUM(F18:F25)</f>
        <v>708017212.35000002</v>
      </c>
      <c r="G17" s="96">
        <f t="shared" si="1"/>
        <v>26.413624784555122</v>
      </c>
      <c r="H17" s="189">
        <f>SUM(H18:H25)</f>
        <v>827975111.18999994</v>
      </c>
      <c r="I17" s="96">
        <f t="shared" si="2"/>
        <v>26.833520585623539</v>
      </c>
      <c r="J17" s="189">
        <f>SUM(J18:J25)</f>
        <v>712439343.42000008</v>
      </c>
      <c r="K17" s="96">
        <f t="shared" si="3"/>
        <v>23.899340604495141</v>
      </c>
      <c r="L17" s="189">
        <f>SUM(L18:L25)</f>
        <v>675800345.0200001</v>
      </c>
      <c r="M17" s="96">
        <f t="shared" si="4"/>
        <v>21.771918331829902</v>
      </c>
      <c r="N17" s="189">
        <f>SUM(N18:N25)</f>
        <v>704070354.97000003</v>
      </c>
      <c r="O17" s="96">
        <f t="shared" si="5"/>
        <v>21.770882961348175</v>
      </c>
      <c r="P17" s="189">
        <f>SUM(P18:P25)</f>
        <v>687444134.69000006</v>
      </c>
      <c r="Q17" s="96">
        <f t="shared" si="6"/>
        <v>21.830553657986666</v>
      </c>
      <c r="R17" s="189">
        <f>SUM(R18:R25)</f>
        <v>755696459.51000011</v>
      </c>
      <c r="S17" s="96">
        <f t="shared" si="7"/>
        <v>22.653488031261944</v>
      </c>
      <c r="T17" s="189">
        <f>SUM(T18:T25)</f>
        <v>797828901.35953081</v>
      </c>
      <c r="U17" s="96">
        <f t="shared" si="8"/>
        <v>22.690366963808792</v>
      </c>
      <c r="V17" s="96"/>
      <c r="W17" s="96"/>
      <c r="X17" s="189">
        <f>SUM(X18:X25)</f>
        <v>0</v>
      </c>
      <c r="Y17" s="96">
        <f t="shared" si="9"/>
        <v>0</v>
      </c>
      <c r="Z17" s="189">
        <f>SUM(Z18:Z25)</f>
        <v>0</v>
      </c>
      <c r="AA17" s="96">
        <f t="shared" si="10"/>
        <v>0</v>
      </c>
      <c r="AB17" s="189">
        <f>SUM(AB18:AB25)</f>
        <v>0</v>
      </c>
      <c r="AC17" s="96">
        <f>AB17/AB$11*100</f>
        <v>0</v>
      </c>
      <c r="AD17" s="190"/>
      <c r="AE17" s="189">
        <f>SUM(AE18:AE25)</f>
        <v>0</v>
      </c>
      <c r="AF17" s="96">
        <f t="shared" si="11"/>
        <v>0</v>
      </c>
      <c r="AG17" s="189">
        <f>SUM(AG18:AG25)</f>
        <v>0</v>
      </c>
      <c r="AH17" s="96">
        <f>AG17/AG$11*100</f>
        <v>0</v>
      </c>
      <c r="AI17" s="190"/>
      <c r="AJ17" s="189">
        <f>SUM(AJ18:AJ25)</f>
        <v>0</v>
      </c>
      <c r="AK17" s="96">
        <f t="shared" si="12"/>
        <v>0</v>
      </c>
      <c r="AL17" s="189">
        <f>SUM(AL18:AL25)</f>
        <v>0</v>
      </c>
      <c r="AM17" s="96">
        <f t="shared" si="13"/>
        <v>0</v>
      </c>
      <c r="AO17" s="102"/>
      <c r="AP17" s="102"/>
      <c r="AQ17" s="102"/>
      <c r="AR17" s="102"/>
      <c r="AS17" s="167"/>
      <c r="AT17" s="168"/>
      <c r="AU17" s="102"/>
      <c r="AV17" s="102"/>
      <c r="AW17" s="102"/>
      <c r="AX17" s="102"/>
      <c r="AY17" s="102"/>
      <c r="AZ17" s="102"/>
      <c r="BA17" s="102"/>
      <c r="BB17" s="102"/>
      <c r="BC17" s="102"/>
      <c r="BD17" s="102"/>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row>
    <row r="18" spans="2:125" ht="15" customHeight="1">
      <c r="B18" s="80">
        <v>7111</v>
      </c>
      <c r="C18" s="99" t="str">
        <f>IF(MasterSheet!$A$1=1,MasterSheet!C74,MasterSheet!B74)</f>
        <v>Porez na dohodak fizičkih lica</v>
      </c>
      <c r="D18" s="193">
        <f>+IF(ISNUMBER(VLOOKUP($B18,'Cental Budget - hwy'!$B$16:$AQ$90,D$1,FALSE)),VLOOKUP($B18,'Cental Budget - hwy'!$B$16:$AQ$90,D$1,FALSE),0)+IF(ISNUMBER(VLOOKUP($B18,#REF!,D$1,FALSE)),VLOOKUP($B18,#REF!,D$1,FALSE),0)</f>
        <v>72493703.819999963</v>
      </c>
      <c r="E18" s="101">
        <f t="shared" si="0"/>
        <v>3.3735261678067832</v>
      </c>
      <c r="F18" s="193">
        <f>+IF(ISNUMBER(VLOOKUP($B18,'Cental Budget - hwy'!$B$16:$AQ$90,F$1,FALSE)),VLOOKUP($B18,'Cental Budget - hwy'!$B$16:$AQ$90,F$1,FALSE),0)+IF(ISNUMBER(VLOOKUP($B18,#REF!,F$1,FALSE)),VLOOKUP($B18,#REF!,F$1,FALSE),0)</f>
        <v>85402227.900000006</v>
      </c>
      <c r="G18" s="101">
        <f t="shared" si="1"/>
        <v>3.1860558813654167</v>
      </c>
      <c r="H18" s="193">
        <f>+IF(ISNUMBER(VLOOKUP($B18,'Cental Budget - hwy'!$B$16:$AQ$90,H$1,FALSE)),VLOOKUP($B18,'Cental Budget - hwy'!$B$16:$AQ$90,H$1,FALSE),0)+IF(ISNUMBER(VLOOKUP($B18,#REF!,H$1,FALSE)),VLOOKUP($B18,#REF!,H$1,FALSE),0)</f>
        <v>111918603.98999999</v>
      </c>
      <c r="I18" s="101">
        <f t="shared" si="2"/>
        <v>3.6271261339771841</v>
      </c>
      <c r="J18" s="193">
        <f>+IF(ISNUMBER(VLOOKUP($B18,'Cental Budget - hwy'!$B$16:$AQ$90,J$1,FALSE)),VLOOKUP($B18,'Cental Budget - hwy'!$B$16:$AQ$90,J$1,FALSE),0)+IF(ISNUMBER(VLOOKUP($B18,#REF!,J$1,FALSE)),VLOOKUP($B18,#REF!,J$1,FALSE),0)</f>
        <v>94990513.510000005</v>
      </c>
      <c r="K18" s="101">
        <f t="shared" si="3"/>
        <v>3.1865318185172762</v>
      </c>
      <c r="L18" s="193">
        <f>+IF(ISNUMBER(VLOOKUP($B18,'Cental Budget - hwy'!$B$16:$AQ$90,L$1,FALSE)),VLOOKUP($B18,'Cental Budget - hwy'!$B$16:$AQ$90,L$1,FALSE),0)+IF(ISNUMBER(VLOOKUP($B18,#REF!,L$1,FALSE)),VLOOKUP($B18,#REF!,L$1,FALSE),0)</f>
        <v>89753928.969999999</v>
      </c>
      <c r="M18" s="101">
        <f t="shared" si="4"/>
        <v>2.8915569900128868</v>
      </c>
      <c r="N18" s="193">
        <f>+IF(ISNUMBER(VLOOKUP($B18,'Cental Budget - hwy'!$B$16:$AQ$90,N$1,FALSE)),VLOOKUP($B18,'Cental Budget - hwy'!$B$16:$AQ$90,N$1,FALSE),0)+IF(ISNUMBER(VLOOKUP($B18,#REF!,N$1,FALSE)),VLOOKUP($B18,#REF!,N$1,FALSE),0)</f>
        <v>81640031.710000008</v>
      </c>
      <c r="O18" s="101">
        <f t="shared" si="5"/>
        <v>2.5244289335188621</v>
      </c>
      <c r="P18" s="193">
        <f>+IF(ISNUMBER(VLOOKUP($B18,'Cental Budget - hwy'!$B$16:$AQ$90,P$1,FALSE)),VLOOKUP($B18,'Cental Budget - hwy'!$B$16:$AQ$90,P$1,FALSE),0)+IF(ISNUMBER(VLOOKUP($B18,#REF!,P$1,FALSE)),VLOOKUP($B18,#REF!,P$1,FALSE),0)</f>
        <v>82261833.280000001</v>
      </c>
      <c r="Q18" s="101">
        <f t="shared" si="6"/>
        <v>2.6123160774849161</v>
      </c>
      <c r="R18" s="193">
        <f>+IF(ISNUMBER(VLOOKUP($B18,'Cental Budget - hwy'!$B$16:$AQ$90,R$1,FALSE)),VLOOKUP($B18,'Cental Budget - hwy'!$B$16:$AQ$90,R$1,FALSE),0)+IF(ISNUMBER(VLOOKUP($B18,#REF!,R$1,FALSE)),VLOOKUP($B18,#REF!,R$1,FALSE),0)</f>
        <v>95618433.909999996</v>
      </c>
      <c r="S18" s="101">
        <f t="shared" si="7"/>
        <v>2.8663506635358695</v>
      </c>
      <c r="T18" s="193">
        <f>+IF(ISNUMBER(VLOOKUP($B18,'Cental Budget - hwy'!$B$16:$AQ$90,T$1,FALSE)),VLOOKUP($B18,'Cental Budget - hwy'!$B$16:$AQ$90,T$1,FALSE),0)+IF(ISNUMBER(VLOOKUP($B18,#REF!,T$1,FALSE)),VLOOKUP($B18,#REF!,T$1,FALSE),0)</f>
        <v>96011654.614494905</v>
      </c>
      <c r="U18" s="101">
        <f t="shared" si="8"/>
        <v>2.7305850568875618</v>
      </c>
      <c r="V18" s="192">
        <f>+IF(ISNUMBER(VLOOKUP($B18,'Cental Budget - hwy'!$B$16:$AQ$90,V$1,FALSE)),VLOOKUP($B18,'Cental Budget - hwy'!$B$16:$AQ$90,V$1,FALSE),0)+IF(ISNUMBER(VLOOKUP($B18,#REF!,V$1,FALSE)),VLOOKUP($B18,#REF!,V$1,FALSE),0)</f>
        <v>0</v>
      </c>
      <c r="W18" s="192">
        <f>+IF(ISNUMBER(VLOOKUP($B18,'Cental Budget - hwy'!$B$16:$AQ$90,W$1,FALSE)),VLOOKUP($B18,'Cental Budget - hwy'!$B$16:$AQ$90,W$1,FALSE),0)+IF(ISNUMBER(VLOOKUP($B18,#REF!,W$1,FALSE)),VLOOKUP($B18,#REF!,W$1,FALSE),0)</f>
        <v>963492.84</v>
      </c>
      <c r="X18" s="193">
        <f>+IF(ISNUMBER(VLOOKUP($B18,'Cental Budget - hwy'!$B$16:$AQ$90,X$1,FALSE)),VLOOKUP($B18,'Cental Budget - hwy'!$B$16:$AQ$90,X$1,FALSE),0)+IF(ISNUMBER(VLOOKUP($B18,#REF!,X$1,FALSE)),VLOOKUP($B18,#REF!,X$1,FALSE),0)</f>
        <v>0</v>
      </c>
      <c r="Y18" s="101">
        <f t="shared" si="9"/>
        <v>0</v>
      </c>
      <c r="Z18" s="193">
        <f>+IF(ISNUMBER(VLOOKUP($B18,'Cental Budget - hwy'!$B$16:$AQ$90,Z$1,FALSE)),VLOOKUP($B18,'Cental Budget - hwy'!$B$16:$AQ$90,Z$1,FALSE),0)+IF(ISNUMBER(VLOOKUP($B18,#REF!,Z$1,FALSE)),VLOOKUP($B18,#REF!,Z$1,FALSE),0)</f>
        <v>0</v>
      </c>
      <c r="AA18" s="101">
        <f t="shared" si="10"/>
        <v>0</v>
      </c>
      <c r="AB18" s="193">
        <f>+IF(ISNUMBER(VLOOKUP($B18,'Cental Budget - hwy'!$B$16:$AQ$90,AB$1,FALSE)),VLOOKUP($B18,'Cental Budget - hwy'!$B$16:$AQ$90,AB$1,FALSE),0)+IF(ISNUMBER(VLOOKUP($B18,#REF!,AB$1,FALSE)),VLOOKUP($B18,#REF!,AB$1,FALSE),0)</f>
        <v>0</v>
      </c>
      <c r="AC18" s="101">
        <f>+IF(ISNUMBER(VLOOKUP($B18,'Cental Budget - hwy'!$B$16:$AQ$90,AC$1,FALSE)),VLOOKUP($B18,'Cental Budget - hwy'!$B$16:$AQ$90,AC$1,FALSE),0)+IF(ISNUMBER(VLOOKUP($B18,#REF!,AC$1,FALSE)),VLOOKUP($B18,#REF!,AC$1,FALSE),0)</f>
        <v>0</v>
      </c>
      <c r="AD18" s="194">
        <f>+IF(ISNUMBER(VLOOKUP($B18,'Cental Budget - hwy'!$B$16:$AQ$90,AD$1,FALSE)),VLOOKUP($B18,'Cental Budget - hwy'!$B$16:$AQ$90,AD$1,FALSE),0)+IF(ISNUMBER(VLOOKUP($B18,#REF!,AD$1,FALSE)),VLOOKUP($B18,#REF!,AD$1,FALSE),0)</f>
        <v>0</v>
      </c>
      <c r="AE18" s="193">
        <f>+IF(ISNUMBER(VLOOKUP($B18,'Cental Budget - hwy'!$B$16:$AQ$90,AE$1,FALSE)),VLOOKUP($B18,'Cental Budget - hwy'!$B$16:$AQ$90,AE$1,FALSE),0)+IF(ISNUMBER(VLOOKUP($B18,#REF!,AE$1,FALSE)),VLOOKUP($B18,#REF!,AE$1,FALSE),0)</f>
        <v>0</v>
      </c>
      <c r="AF18" s="101">
        <f t="shared" si="11"/>
        <v>0</v>
      </c>
      <c r="AG18" s="191">
        <f>+IF(ISNUMBER(VLOOKUP($B18,'Cental Budget - hwy'!$B$16:$AQ$90,AG$1,FALSE)),VLOOKUP($B18,'Cental Budget - hwy'!$B$16:$AQ$90,AG$1,FALSE),0)+IF(ISNUMBER(VLOOKUP($B18,#REF!,AG$1,FALSE)),VLOOKUP($B18,#REF!,AG$1,FALSE),0)</f>
        <v>0</v>
      </c>
      <c r="AH18" s="101">
        <f>+IF(ISNUMBER(VLOOKUP($B18,'Cental Budget - hwy'!$B$16:$AQ$90,AH$1,FALSE)),VLOOKUP($B18,'Cental Budget - hwy'!$B$16:$AQ$90,AH$1,FALSE),0)+IF(ISNUMBER(VLOOKUP($B18,#REF!,AH$1,FALSE)),VLOOKUP($B18,#REF!,AH$1,FALSE),0)</f>
        <v>0</v>
      </c>
      <c r="AI18" s="194">
        <f>+IF(ISNUMBER(VLOOKUP($B18,'Cental Budget - hwy'!$B$16:$AQ$90,AI$1,FALSE)),VLOOKUP($B18,'Cental Budget - hwy'!$B$16:$AQ$90,AI$1,FALSE),0)+IF(ISNUMBER(VLOOKUP($B18,#REF!,AI$1,FALSE)),VLOOKUP($B18,#REF!,AI$1,FALSE),0)</f>
        <v>0</v>
      </c>
      <c r="AJ18" s="193">
        <f>+IF(ISNUMBER(VLOOKUP($B18,'Cental Budget - hwy'!$B$16:$AQ$90,AJ$1,FALSE)),VLOOKUP($B18,'Cental Budget - hwy'!$B$16:$AQ$90,AJ$1,FALSE),0)+IF(ISNUMBER(VLOOKUP($B18,#REF!,AJ$1,FALSE)),VLOOKUP($B18,#REF!,AJ$1,FALSE),0)</f>
        <v>0</v>
      </c>
      <c r="AK18" s="101">
        <f t="shared" si="12"/>
        <v>0</v>
      </c>
      <c r="AL18" s="193">
        <f>+IF(ISNUMBER(VLOOKUP($B18,'Cental Budget - hwy'!$B$16:$AQ$90,AL$1,FALSE)),VLOOKUP($B18,'Cental Budget - hwy'!$B$16:$AQ$90,AL$1,FALSE),0)+IF(ISNUMBER(VLOOKUP($B18,#REF!,AL$1,FALSE)),VLOOKUP($B18,#REF!,AL$1,FALSE),0)</f>
        <v>0</v>
      </c>
      <c r="AM18" s="101">
        <f t="shared" si="13"/>
        <v>0</v>
      </c>
      <c r="AO18" s="102"/>
      <c r="AP18" s="103" t="s">
        <v>427</v>
      </c>
      <c r="AQ18" s="103"/>
      <c r="AR18" s="103"/>
      <c r="AS18" s="103"/>
      <c r="AT18" s="169"/>
      <c r="AU18" s="102"/>
      <c r="AV18" s="102"/>
      <c r="AW18" s="102"/>
      <c r="AX18" s="102"/>
      <c r="AY18" s="102"/>
      <c r="AZ18" s="102"/>
      <c r="BA18" s="102"/>
      <c r="BB18" s="102"/>
      <c r="BC18" s="102"/>
      <c r="BD18" s="102"/>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row>
    <row r="19" spans="2:125" ht="15" customHeight="1">
      <c r="B19" s="80">
        <v>7112</v>
      </c>
      <c r="C19" s="99" t="str">
        <f>IF(MasterSheet!$A$1=1,MasterSheet!C75,MasterSheet!B75)</f>
        <v>Porez na dobit pravnih lica</v>
      </c>
      <c r="D19" s="193">
        <f>+IF(ISNUMBER(VLOOKUP($B19,'Cental Budget - hwy'!$B$16:$AQ$90,D$1,FALSE)),VLOOKUP($B19,'Cental Budget - hwy'!$B$16:$AQ$90,D$1,FALSE),0)+IF(ISNUMBER(VLOOKUP($B19,#REF!,D$1,FALSE)),VLOOKUP($B19,#REF!,D$1,FALSE),0)</f>
        <v>12681282.079999981</v>
      </c>
      <c r="E19" s="101">
        <f t="shared" si="0"/>
        <v>0.59012899995346368</v>
      </c>
      <c r="F19" s="193">
        <f>+IF(ISNUMBER(VLOOKUP($B19,'Cental Budget - hwy'!$B$16:$AQ$90,F$1,FALSE)),VLOOKUP($B19,'Cental Budget - hwy'!$B$16:$AQ$90,F$1,FALSE),0)+IF(ISNUMBER(VLOOKUP($B19,#REF!,F$1,FALSE)),VLOOKUP($B19,#REF!,F$1,FALSE),0)</f>
        <v>39076661.670000002</v>
      </c>
      <c r="G19" s="101">
        <f t="shared" si="1"/>
        <v>1.457812410744264</v>
      </c>
      <c r="H19" s="193">
        <f>+IF(ISNUMBER(VLOOKUP($B19,'Cental Budget - hwy'!$B$16:$AQ$90,H$1,FALSE)),VLOOKUP($B19,'Cental Budget - hwy'!$B$16:$AQ$90,H$1,FALSE),0)+IF(ISNUMBER(VLOOKUP($B19,#REF!,H$1,FALSE)),VLOOKUP($B19,#REF!,H$1,FALSE),0)</f>
        <v>62803344.119999997</v>
      </c>
      <c r="I19" s="101">
        <f t="shared" si="2"/>
        <v>2.035368943479388</v>
      </c>
      <c r="J19" s="193">
        <f>+IF(ISNUMBER(VLOOKUP($B19,'Cental Budget - hwy'!$B$16:$AQ$90,J$1,FALSE)),VLOOKUP($B19,'Cental Budget - hwy'!$B$16:$AQ$90,J$1,FALSE),0)+IF(ISNUMBER(VLOOKUP($B19,#REF!,J$1,FALSE)),VLOOKUP($B19,#REF!,J$1,FALSE),0)</f>
        <v>54738222.979999997</v>
      </c>
      <c r="K19" s="101">
        <f t="shared" si="3"/>
        <v>1.8362369332438777</v>
      </c>
      <c r="L19" s="193">
        <f>+IF(ISNUMBER(VLOOKUP($B19,'Cental Budget - hwy'!$B$16:$AQ$90,L$1,FALSE)),VLOOKUP($B19,'Cental Budget - hwy'!$B$16:$AQ$90,L$1,FALSE),0)+IF(ISNUMBER(VLOOKUP($B19,#REF!,L$1,FALSE)),VLOOKUP($B19,#REF!,L$1,FALSE),0)</f>
        <v>20270971.710000001</v>
      </c>
      <c r="M19" s="101">
        <f t="shared" si="4"/>
        <v>0.65305965560567014</v>
      </c>
      <c r="N19" s="193">
        <f>+IF(ISNUMBER(VLOOKUP($B19,'Cental Budget - hwy'!$B$16:$AQ$90,N$1,FALSE)),VLOOKUP($B19,'Cental Budget - hwy'!$B$16:$AQ$90,N$1,FALSE),0)+IF(ISNUMBER(VLOOKUP($B19,#REF!,N$1,FALSE)),VLOOKUP($B19,#REF!,N$1,FALSE),0)</f>
        <v>36101185.260000005</v>
      </c>
      <c r="O19" s="101">
        <f t="shared" si="5"/>
        <v>1.1163013376623379</v>
      </c>
      <c r="P19" s="193">
        <f>+IF(ISNUMBER(VLOOKUP($B19,'Cental Budget - hwy'!$B$16:$AQ$90,P$1,FALSE)),VLOOKUP($B19,'Cental Budget - hwy'!$B$16:$AQ$90,P$1,FALSE),0)+IF(ISNUMBER(VLOOKUP($B19,#REF!,P$1,FALSE)),VLOOKUP($B19,#REF!,P$1,FALSE),0)</f>
        <v>64016557.520000003</v>
      </c>
      <c r="Q19" s="101">
        <f t="shared" si="6"/>
        <v>2.0329170377897743</v>
      </c>
      <c r="R19" s="193">
        <f>+IF(ISNUMBER(VLOOKUP($B19,'Cental Budget - hwy'!$B$16:$AQ$90,R$1,FALSE)),VLOOKUP($B19,'Cental Budget - hwy'!$B$16:$AQ$90,R$1,FALSE),0)+IF(ISNUMBER(VLOOKUP($B19,#REF!,R$1,FALSE)),VLOOKUP($B19,#REF!,R$1,FALSE),0)</f>
        <v>40638726.390000008</v>
      </c>
      <c r="S19" s="101">
        <f t="shared" si="7"/>
        <v>1.2182257708055488</v>
      </c>
      <c r="T19" s="193">
        <f>+IF(ISNUMBER(VLOOKUP($B19,'Cental Budget - hwy'!$B$16:$AQ$90,T$1,FALSE)),VLOOKUP($B19,'Cental Budget - hwy'!$B$16:$AQ$90,T$1,FALSE),0)+IF(ISNUMBER(VLOOKUP($B19,#REF!,T$1,FALSE)),VLOOKUP($B19,#REF!,T$1,FALSE),0)</f>
        <v>44395641.531501003</v>
      </c>
      <c r="U19" s="101">
        <f t="shared" si="8"/>
        <v>1.2626183336137604</v>
      </c>
      <c r="V19" s="192">
        <f>+IF(ISNUMBER(VLOOKUP($B19,'Cental Budget - hwy'!$B$16:$AQ$90,V$1,FALSE)),VLOOKUP($B19,'Cental Budget - hwy'!$B$16:$AQ$90,V$1,FALSE),0)+IF(ISNUMBER(VLOOKUP($B19,#REF!,V$1,FALSE)),VLOOKUP($B19,#REF!,V$1,FALSE),0)</f>
        <v>8000000</v>
      </c>
      <c r="W19" s="192">
        <f>+IF(ISNUMBER(VLOOKUP($B19,'Cental Budget - hwy'!$B$16:$AQ$90,W$1,FALSE)),VLOOKUP($B19,'Cental Budget - hwy'!$B$16:$AQ$90,W$1,FALSE),0)+IF(ISNUMBER(VLOOKUP($B19,#REF!,W$1,FALSE)),VLOOKUP($B19,#REF!,W$1,FALSE),0)</f>
        <v>445517.61</v>
      </c>
      <c r="X19" s="193">
        <f>+IF(ISNUMBER(VLOOKUP($B19,'Cental Budget - hwy'!$B$16:$AQ$90,X$1,FALSE)),VLOOKUP($B19,'Cental Budget - hwy'!$B$16:$AQ$90,X$1,FALSE),0)+IF(ISNUMBER(VLOOKUP($B19,#REF!,X$1,FALSE)),VLOOKUP($B19,#REF!,X$1,FALSE),0)</f>
        <v>0</v>
      </c>
      <c r="Y19" s="101">
        <f t="shared" si="9"/>
        <v>0</v>
      </c>
      <c r="Z19" s="193">
        <f>+IF(ISNUMBER(VLOOKUP($B19,'Cental Budget - hwy'!$B$16:$AQ$90,Z$1,FALSE)),VLOOKUP($B19,'Cental Budget - hwy'!$B$16:$AQ$90,Z$1,FALSE),0)+IF(ISNUMBER(VLOOKUP($B19,#REF!,Z$1,FALSE)),VLOOKUP($B19,#REF!,Z$1,FALSE),0)</f>
        <v>0</v>
      </c>
      <c r="AA19" s="101">
        <f t="shared" si="10"/>
        <v>0</v>
      </c>
      <c r="AB19" s="193">
        <f>+IF(ISNUMBER(VLOOKUP($B19,'Cental Budget - hwy'!$B$16:$AQ$90,AB$1,FALSE)),VLOOKUP($B19,'Cental Budget - hwy'!$B$16:$AQ$90,AB$1,FALSE),0)+IF(ISNUMBER(VLOOKUP($B19,#REF!,AB$1,FALSE)),VLOOKUP($B19,#REF!,AB$1,FALSE),0)</f>
        <v>0</v>
      </c>
      <c r="AC19" s="101">
        <f>+IF(ISNUMBER(VLOOKUP($B19,'Cental Budget - hwy'!$B$16:$AQ$90,AC$1,FALSE)),VLOOKUP($B19,'Cental Budget - hwy'!$B$16:$AQ$90,AC$1,FALSE),0)+IF(ISNUMBER(VLOOKUP($B19,#REF!,AC$1,FALSE)),VLOOKUP($B19,#REF!,AC$1,FALSE),0)</f>
        <v>0</v>
      </c>
      <c r="AD19" s="194">
        <f>+IF(ISNUMBER(VLOOKUP($B19,'Cental Budget - hwy'!$B$16:$AQ$90,AD$1,FALSE)),VLOOKUP($B19,'Cental Budget - hwy'!$B$16:$AQ$90,AD$1,FALSE),0)+IF(ISNUMBER(VLOOKUP($B19,#REF!,AD$1,FALSE)),VLOOKUP($B19,#REF!,AD$1,FALSE),0)</f>
        <v>0</v>
      </c>
      <c r="AE19" s="193">
        <f>+IF(ISNUMBER(VLOOKUP($B19,'Cental Budget - hwy'!$B$16:$AQ$90,AE$1,FALSE)),VLOOKUP($B19,'Cental Budget - hwy'!$B$16:$AQ$90,AE$1,FALSE),0)+IF(ISNUMBER(VLOOKUP($B19,#REF!,AE$1,FALSE)),VLOOKUP($B19,#REF!,AE$1,FALSE),0)</f>
        <v>0</v>
      </c>
      <c r="AF19" s="101">
        <f t="shared" si="11"/>
        <v>0</v>
      </c>
      <c r="AG19" s="193">
        <f>+IF(ISNUMBER(VLOOKUP($B19,'Cental Budget - hwy'!$B$16:$AQ$90,AG$1,FALSE)),VLOOKUP($B19,'Cental Budget - hwy'!$B$16:$AQ$90,AG$1,FALSE),0)+IF(ISNUMBER(VLOOKUP($B19,#REF!,AG$1,FALSE)),VLOOKUP($B19,#REF!,AG$1,FALSE),0)</f>
        <v>0</v>
      </c>
      <c r="AH19" s="101">
        <f>+IF(ISNUMBER(VLOOKUP($B19,'Cental Budget - hwy'!$B$16:$AQ$90,AH$1,FALSE)),VLOOKUP($B19,'Cental Budget - hwy'!$B$16:$AQ$90,AH$1,FALSE),0)+IF(ISNUMBER(VLOOKUP($B19,#REF!,AH$1,FALSE)),VLOOKUP($B19,#REF!,AH$1,FALSE),0)</f>
        <v>0</v>
      </c>
      <c r="AI19" s="194">
        <f>+IF(ISNUMBER(VLOOKUP($B19,'Cental Budget - hwy'!$B$16:$AQ$90,AI$1,FALSE)),VLOOKUP($B19,'Cental Budget - hwy'!$B$16:$AQ$90,AI$1,FALSE),0)+IF(ISNUMBER(VLOOKUP($B19,#REF!,AI$1,FALSE)),VLOOKUP($B19,#REF!,AI$1,FALSE),0)</f>
        <v>0</v>
      </c>
      <c r="AJ19" s="193">
        <f>+IF(ISNUMBER(VLOOKUP($B19,'Cental Budget - hwy'!$B$16:$AQ$90,AJ$1,FALSE)),VLOOKUP($B19,'Cental Budget - hwy'!$B$16:$AQ$90,AJ$1,FALSE),0)+IF(ISNUMBER(VLOOKUP($B19,#REF!,AJ$1,FALSE)),VLOOKUP($B19,#REF!,AJ$1,FALSE),0)</f>
        <v>0</v>
      </c>
      <c r="AK19" s="101">
        <f t="shared" si="12"/>
        <v>0</v>
      </c>
      <c r="AL19" s="193">
        <f>+IF(ISNUMBER(VLOOKUP($B19,'Cental Budget - hwy'!$B$16:$AQ$90,AL$1,FALSE)),VLOOKUP($B19,'Cental Budget - hwy'!$B$16:$AQ$90,AL$1,FALSE),0)+IF(ISNUMBER(VLOOKUP($B19,#REF!,AL$1,FALSE)),VLOOKUP($B19,#REF!,AL$1,FALSE),0)</f>
        <v>0</v>
      </c>
      <c r="AM19" s="101">
        <f t="shared" si="13"/>
        <v>0</v>
      </c>
      <c r="AO19" s="102"/>
      <c r="AP19" s="103"/>
      <c r="AQ19" s="104">
        <f>+R14</f>
        <v>2013</v>
      </c>
      <c r="AR19" s="104" t="str">
        <f>+T14</f>
        <v>Plan 2014</v>
      </c>
      <c r="AS19" s="170" t="str">
        <f>+X14</f>
        <v>Procjena 2014</v>
      </c>
      <c r="AT19" s="170" t="str">
        <f>+AE14</f>
        <v>Procjena 2015</v>
      </c>
      <c r="AU19" s="81"/>
      <c r="AV19" s="171"/>
      <c r="AW19" s="171"/>
      <c r="AX19" s="171"/>
      <c r="AY19" s="171"/>
      <c r="AZ19" s="171"/>
      <c r="BA19" s="171"/>
      <c r="BB19" s="171"/>
      <c r="BC19" s="171"/>
      <c r="BD19" s="171"/>
      <c r="BE19" s="171"/>
      <c r="BF19" s="171"/>
      <c r="BG19" s="171"/>
      <c r="BH19" s="172"/>
      <c r="BI19" s="172"/>
      <c r="BJ19" s="172"/>
      <c r="BK19" s="172"/>
      <c r="BL19" s="172"/>
      <c r="BM19" s="172"/>
      <c r="BN19" s="172"/>
      <c r="BO19" s="172"/>
      <c r="BP19" s="172"/>
      <c r="BQ19" s="172"/>
      <c r="BR19" s="172"/>
      <c r="BS19" s="172"/>
      <c r="BT19" s="173"/>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R19" s="81"/>
    </row>
    <row r="20" spans="2:125" ht="15" customHeight="1">
      <c r="B20" s="80">
        <v>7113</v>
      </c>
      <c r="C20" s="99" t="str">
        <f>IF(MasterSheet!$A$1=1,MasterSheet!C76,MasterSheet!B76)</f>
        <v>Porez na promet nepokretnosti</v>
      </c>
      <c r="D20" s="193">
        <f>+IF(ISNUMBER(VLOOKUP($B20,'Cental Budget - hwy'!$B$16:$AQ$90,D$1,FALSE)),VLOOKUP($B20,'Cental Budget - hwy'!$B$16:$AQ$90,D$1,FALSE),0)+IF(ISNUMBER(VLOOKUP($B20,#REF!,D$1,FALSE)),VLOOKUP($B20,#REF!,D$1,FALSE),0)</f>
        <v>7371892.8599999985</v>
      </c>
      <c r="E20" s="101">
        <f t="shared" si="0"/>
        <v>0.3430542538042719</v>
      </c>
      <c r="F20" s="193">
        <f>+IF(ISNUMBER(VLOOKUP($B20,'Cental Budget - hwy'!$B$16:$AQ$90,F$1,FALSE)),VLOOKUP($B20,'Cental Budget - hwy'!$B$16:$AQ$90,F$1,FALSE),0)+IF(ISNUMBER(VLOOKUP($B20,#REF!,F$1,FALSE)),VLOOKUP($B20,#REF!,F$1,FALSE),0)</f>
        <v>20590669.43</v>
      </c>
      <c r="G20" s="101">
        <f t="shared" si="1"/>
        <v>0.76816524640925199</v>
      </c>
      <c r="H20" s="193">
        <f>+IF(ISNUMBER(VLOOKUP($B20,'Cental Budget - hwy'!$B$16:$AQ$90,H$1,FALSE)),VLOOKUP($B20,'Cental Budget - hwy'!$B$16:$AQ$90,H$1,FALSE),0)+IF(ISNUMBER(VLOOKUP($B20,#REF!,H$1,FALSE)),VLOOKUP($B20,#REF!,H$1,FALSE),0)</f>
        <v>11428331.24</v>
      </c>
      <c r="I20" s="101">
        <f t="shared" si="2"/>
        <v>0.37037630412237488</v>
      </c>
      <c r="J20" s="193">
        <f>+IF(ISNUMBER(VLOOKUP($B20,'Cental Budget - hwy'!$B$16:$AQ$90,J$1,FALSE)),VLOOKUP($B20,'Cental Budget - hwy'!$B$16:$AQ$90,J$1,FALSE),0)+IF(ISNUMBER(VLOOKUP($B20,#REF!,J$1,FALSE)),VLOOKUP($B20,#REF!,J$1,FALSE),0)</f>
        <v>5206820.57</v>
      </c>
      <c r="K20" s="101">
        <f t="shared" si="3"/>
        <v>0.17466690942636701</v>
      </c>
      <c r="L20" s="193">
        <f>+IF(ISNUMBER(VLOOKUP($B20,'Cental Budget - hwy'!$B$16:$AQ$90,L$1,FALSE)),VLOOKUP($B20,'Cental Budget - hwy'!$B$16:$AQ$90,L$1,FALSE),0)+IF(ISNUMBER(VLOOKUP($B20,#REF!,L$1,FALSE)),VLOOKUP($B20,#REF!,L$1,FALSE),0)</f>
        <v>4938431.08</v>
      </c>
      <c r="M20" s="101">
        <f t="shared" si="4"/>
        <v>0.15909893943298969</v>
      </c>
      <c r="N20" s="193">
        <f>+IF(ISNUMBER(VLOOKUP($B20,'Cental Budget - hwy'!$B$16:$AQ$90,N$1,FALSE)),VLOOKUP($B20,'Cental Budget - hwy'!$B$16:$AQ$90,N$1,FALSE),0)+IF(ISNUMBER(VLOOKUP($B20,#REF!,N$1,FALSE)),VLOOKUP($B20,#REF!,N$1,FALSE),0)</f>
        <v>1237096.94</v>
      </c>
      <c r="O20" s="101">
        <f t="shared" si="5"/>
        <v>3.8252842918985772E-2</v>
      </c>
      <c r="P20" s="193">
        <f>+IF(ISNUMBER(VLOOKUP($B20,'Cental Budget - hwy'!$B$16:$AQ$90,P$1,FALSE)),VLOOKUP($B20,'Cental Budget - hwy'!$B$16:$AQ$90,P$1,FALSE),0)+IF(ISNUMBER(VLOOKUP($B20,#REF!,P$1,FALSE)),VLOOKUP($B20,#REF!,P$1,FALSE),0)</f>
        <v>1441449.4</v>
      </c>
      <c r="Q20" s="101">
        <f t="shared" si="6"/>
        <v>4.5774830104795168E-2</v>
      </c>
      <c r="R20" s="193">
        <f>+IF(ISNUMBER(VLOOKUP($B20,'Cental Budget - hwy'!$B$16:$AQ$90,R$1,FALSE)),VLOOKUP($B20,'Cental Budget - hwy'!$B$16:$AQ$90,R$1,FALSE),0)+IF(ISNUMBER(VLOOKUP($B20,#REF!,R$1,FALSE)),VLOOKUP($B20,#REF!,R$1,FALSE),0)</f>
        <v>1440565.3199999998</v>
      </c>
      <c r="S20" s="101">
        <f t="shared" si="7"/>
        <v>4.318377944503151E-2</v>
      </c>
      <c r="T20" s="193">
        <f>+IF(ISNUMBER(VLOOKUP($B20,'Cental Budget - hwy'!$B$16:$AQ$90,T$1,FALSE)),VLOOKUP($B20,'Cental Budget - hwy'!$B$16:$AQ$90,T$1,FALSE),0)+IF(ISNUMBER(VLOOKUP($B20,#REF!,T$1,FALSE)),VLOOKUP($B20,#REF!,T$1,FALSE),0)</f>
        <v>1544536.6728920399</v>
      </c>
      <c r="U20" s="101">
        <f t="shared" si="8"/>
        <v>4.3926841754241781E-2</v>
      </c>
      <c r="V20" s="192">
        <f>+IF(ISNUMBER(VLOOKUP($B20,'Cental Budget - hwy'!$B$16:$AQ$90,V$1,FALSE)),VLOOKUP($B20,'Cental Budget - hwy'!$B$16:$AQ$90,V$1,FALSE),0)+IF(ISNUMBER(VLOOKUP($B20,#REF!,V$1,FALSE)),VLOOKUP($B20,#REF!,V$1,FALSE),0)</f>
        <v>0</v>
      </c>
      <c r="W20" s="192">
        <f>+IF(ISNUMBER(VLOOKUP($B20,'Cental Budget - hwy'!$B$16:$AQ$90,W$1,FALSE)),VLOOKUP($B20,'Cental Budget - hwy'!$B$16:$AQ$90,W$1,FALSE),0)+IF(ISNUMBER(VLOOKUP($B20,#REF!,W$1,FALSE)),VLOOKUP($B20,#REF!,W$1,FALSE),0)</f>
        <v>15499.68</v>
      </c>
      <c r="X20" s="193">
        <f>+IF(ISNUMBER(VLOOKUP($B20,'Cental Budget - hwy'!$B$16:$AQ$90,X$1,FALSE)),VLOOKUP($B20,'Cental Budget - hwy'!$B$16:$AQ$90,X$1,FALSE),0)+IF(ISNUMBER(VLOOKUP($B20,#REF!,X$1,FALSE)),VLOOKUP($B20,#REF!,X$1,FALSE),0)</f>
        <v>0</v>
      </c>
      <c r="Y20" s="101">
        <f t="shared" si="9"/>
        <v>0</v>
      </c>
      <c r="Z20" s="193">
        <f>+IF(ISNUMBER(VLOOKUP($B20,'Cental Budget - hwy'!$B$16:$AQ$90,Z$1,FALSE)),VLOOKUP($B20,'Cental Budget - hwy'!$B$16:$AQ$90,Z$1,FALSE),0)+IF(ISNUMBER(VLOOKUP($B20,#REF!,Z$1,FALSE)),VLOOKUP($B20,#REF!,Z$1,FALSE),0)</f>
        <v>0</v>
      </c>
      <c r="AA20" s="101">
        <f t="shared" si="10"/>
        <v>0</v>
      </c>
      <c r="AB20" s="193">
        <f>+IF(ISNUMBER(VLOOKUP($B20,'Cental Budget - hwy'!$B$16:$AQ$90,AB$1,FALSE)),VLOOKUP($B20,'Cental Budget - hwy'!$B$16:$AQ$90,AB$1,FALSE),0)+IF(ISNUMBER(VLOOKUP($B20,#REF!,AB$1,FALSE)),VLOOKUP($B20,#REF!,AB$1,FALSE),0)</f>
        <v>0</v>
      </c>
      <c r="AC20" s="101">
        <f>+IF(ISNUMBER(VLOOKUP($B20,'Cental Budget - hwy'!$B$16:$AQ$90,AC$1,FALSE)),VLOOKUP($B20,'Cental Budget - hwy'!$B$16:$AQ$90,AC$1,FALSE),0)+IF(ISNUMBER(VLOOKUP($B20,#REF!,AC$1,FALSE)),VLOOKUP($B20,#REF!,AC$1,FALSE),0)</f>
        <v>0</v>
      </c>
      <c r="AD20" s="194">
        <f>+IF(ISNUMBER(VLOOKUP($B20,'Cental Budget - hwy'!$B$16:$AQ$90,AD$1,FALSE)),VLOOKUP($B20,'Cental Budget - hwy'!$B$16:$AQ$90,AD$1,FALSE),0)+IF(ISNUMBER(VLOOKUP($B20,#REF!,AD$1,FALSE)),VLOOKUP($B20,#REF!,AD$1,FALSE),0)</f>
        <v>0</v>
      </c>
      <c r="AE20" s="193">
        <f>+IF(ISNUMBER(VLOOKUP($B20,'Cental Budget - hwy'!$B$16:$AQ$90,AE$1,FALSE)),VLOOKUP($B20,'Cental Budget - hwy'!$B$16:$AQ$90,AE$1,FALSE),0)+IF(ISNUMBER(VLOOKUP($B20,#REF!,AE$1,FALSE)),VLOOKUP($B20,#REF!,AE$1,FALSE),0)</f>
        <v>0</v>
      </c>
      <c r="AF20" s="101">
        <f t="shared" si="11"/>
        <v>0</v>
      </c>
      <c r="AG20" s="193">
        <f>+IF(ISNUMBER(VLOOKUP($B20,'Cental Budget - hwy'!$B$16:$AQ$90,AG$1,FALSE)),VLOOKUP($B20,'Cental Budget - hwy'!$B$16:$AQ$90,AG$1,FALSE),0)+IF(ISNUMBER(VLOOKUP($B20,#REF!,AG$1,FALSE)),VLOOKUP($B20,#REF!,AG$1,FALSE),0)</f>
        <v>0</v>
      </c>
      <c r="AH20" s="101">
        <f>+IF(ISNUMBER(VLOOKUP($B20,'Cental Budget - hwy'!$B$16:$AQ$90,AH$1,FALSE)),VLOOKUP($B20,'Cental Budget - hwy'!$B$16:$AQ$90,AH$1,FALSE),0)+IF(ISNUMBER(VLOOKUP($B20,#REF!,AH$1,FALSE)),VLOOKUP($B20,#REF!,AH$1,FALSE),0)</f>
        <v>0</v>
      </c>
      <c r="AI20" s="194">
        <f>+IF(ISNUMBER(VLOOKUP($B20,'Cental Budget - hwy'!$B$16:$AQ$90,AI$1,FALSE)),VLOOKUP($B20,'Cental Budget - hwy'!$B$16:$AQ$90,AI$1,FALSE),0)+IF(ISNUMBER(VLOOKUP($B20,#REF!,AI$1,FALSE)),VLOOKUP($B20,#REF!,AI$1,FALSE),0)</f>
        <v>0</v>
      </c>
      <c r="AJ20" s="193">
        <f>+IF(ISNUMBER(VLOOKUP($B20,'Cental Budget - hwy'!$B$16:$AQ$90,AJ$1,FALSE)),VLOOKUP($B20,'Cental Budget - hwy'!$B$16:$AQ$90,AJ$1,FALSE),0)+IF(ISNUMBER(VLOOKUP($B20,#REF!,AJ$1,FALSE)),VLOOKUP($B20,#REF!,AJ$1,FALSE),0)</f>
        <v>0</v>
      </c>
      <c r="AK20" s="101">
        <f t="shared" si="12"/>
        <v>0</v>
      </c>
      <c r="AL20" s="193">
        <f>+IF(ISNUMBER(VLOOKUP($B20,'Cental Budget - hwy'!$B$16:$AQ$90,AL$1,FALSE)),VLOOKUP($B20,'Cental Budget - hwy'!$B$16:$AQ$90,AL$1,FALSE),0)+IF(ISNUMBER(VLOOKUP($B20,#REF!,AL$1,FALSE)),VLOOKUP($B20,#REF!,AL$1,FALSE),0)</f>
        <v>0</v>
      </c>
      <c r="AM20" s="101">
        <f t="shared" si="13"/>
        <v>0</v>
      </c>
      <c r="AO20" s="102"/>
      <c r="AP20" s="103" t="s">
        <v>428</v>
      </c>
      <c r="AQ20" s="103">
        <f>+S38</f>
        <v>10.975422305375018</v>
      </c>
      <c r="AR20" s="103">
        <f>+U38</f>
        <v>10.991793193911903</v>
      </c>
      <c r="AS20" s="105">
        <f>+Y38</f>
        <v>10.991793193911903</v>
      </c>
      <c r="AT20" s="105">
        <f>+AF38</f>
        <v>10.620090042426959</v>
      </c>
      <c r="AV20" s="105"/>
      <c r="AW20" s="171"/>
      <c r="AX20" s="171"/>
      <c r="AY20" s="171"/>
      <c r="AZ20" s="171"/>
      <c r="BA20" s="171"/>
      <c r="BB20" s="171"/>
      <c r="BC20" s="171"/>
      <c r="BD20" s="171"/>
      <c r="BE20" s="171"/>
      <c r="BF20" s="171"/>
      <c r="BG20" s="171"/>
      <c r="BH20" s="172"/>
      <c r="BI20" s="172"/>
      <c r="BJ20" s="172"/>
      <c r="BK20" s="172"/>
      <c r="BL20" s="172"/>
      <c r="BM20" s="172"/>
      <c r="BN20" s="172"/>
      <c r="BO20" s="172"/>
      <c r="BP20" s="172"/>
      <c r="BQ20" s="172"/>
      <c r="BR20" s="172"/>
      <c r="BS20" s="172"/>
      <c r="BT20" s="173"/>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3"/>
      <c r="CT20" s="173"/>
      <c r="CU20" s="173"/>
      <c r="CV20" s="173"/>
      <c r="CW20" s="173"/>
      <c r="CX20" s="173"/>
      <c r="CY20" s="173"/>
      <c r="CZ20" s="173"/>
      <c r="DA20" s="173"/>
      <c r="DB20" s="173"/>
      <c r="DC20" s="173"/>
      <c r="DD20" s="173"/>
      <c r="DE20" s="172"/>
      <c r="DF20" s="172"/>
      <c r="DG20" s="172"/>
      <c r="DH20" s="172"/>
      <c r="DI20" s="172"/>
      <c r="DJ20" s="172"/>
      <c r="DK20" s="172"/>
      <c r="DL20" s="172"/>
      <c r="DM20" s="172"/>
      <c r="DN20" s="172"/>
      <c r="DO20" s="172"/>
      <c r="DP20" s="172"/>
    </row>
    <row r="21" spans="2:125" ht="15" customHeight="1">
      <c r="B21" s="80">
        <v>7114</v>
      </c>
      <c r="C21" s="99" t="str">
        <f>IF(MasterSheet!$A$1=1,MasterSheet!C77,MasterSheet!B77)</f>
        <v>Porez na dodatu vrijednost</v>
      </c>
      <c r="D21" s="193">
        <f>+IF(ISNUMBER(VLOOKUP($B21,'Cental Budget - hwy'!$B$16:$AQ$90,D$1,FALSE)),VLOOKUP($B21,'Cental Budget - hwy'!$B$16:$AQ$90,D$1,FALSE),0)+IF(ISNUMBER(VLOOKUP($B21,#REF!,D$1,FALSE)),VLOOKUP($B21,#REF!,D$1,FALSE),0)</f>
        <v>273156637.07999986</v>
      </c>
      <c r="E21" s="101">
        <f t="shared" si="0"/>
        <v>12.711463403601837</v>
      </c>
      <c r="F21" s="193">
        <f>+IF(ISNUMBER(VLOOKUP($B21,'Cental Budget - hwy'!$B$16:$AQ$90,F$1,FALSE)),VLOOKUP($B21,'Cental Budget - hwy'!$B$16:$AQ$90,F$1,FALSE),0)+IF(ISNUMBER(VLOOKUP($B21,#REF!,F$1,FALSE)),VLOOKUP($B21,#REF!,F$1,FALSE),0)</f>
        <v>393174255.16000003</v>
      </c>
      <c r="G21" s="101">
        <f t="shared" si="1"/>
        <v>14.667944605857116</v>
      </c>
      <c r="H21" s="193">
        <f>+IF(ISNUMBER(VLOOKUP($B21,'Cental Budget - hwy'!$B$16:$AQ$90,H$1,FALSE)),VLOOKUP($B21,'Cental Budget - hwy'!$B$16:$AQ$90,H$1,FALSE),0)+IF(ISNUMBER(VLOOKUP($B21,#REF!,H$1,FALSE)),VLOOKUP($B21,#REF!,H$1,FALSE),0)</f>
        <v>440064484.29000002</v>
      </c>
      <c r="I21" s="101">
        <f t="shared" si="2"/>
        <v>14.26187724559243</v>
      </c>
      <c r="J21" s="193">
        <f>+IF(ISNUMBER(VLOOKUP($B21,'Cental Budget - hwy'!$B$16:$AQ$90,J$1,FALSE)),VLOOKUP($B21,'Cental Budget - hwy'!$B$16:$AQ$90,J$1,FALSE),0)+IF(ISNUMBER(VLOOKUP($B21,#REF!,J$1,FALSE)),VLOOKUP($B21,#REF!,J$1,FALSE),0)</f>
        <v>370776941.73000002</v>
      </c>
      <c r="K21" s="101">
        <f t="shared" si="3"/>
        <v>12.438005425360618</v>
      </c>
      <c r="L21" s="193">
        <f>+IF(ISNUMBER(VLOOKUP($B21,'Cental Budget - hwy'!$B$16:$AQ$90,L$1,FALSE)),VLOOKUP($B21,'Cental Budget - hwy'!$B$16:$AQ$90,L$1,FALSE),0)+IF(ISNUMBER(VLOOKUP($B21,#REF!,L$1,FALSE)),VLOOKUP($B21,#REF!,L$1,FALSE),0)</f>
        <v>364177041.45999998</v>
      </c>
      <c r="M21" s="101">
        <f t="shared" si="4"/>
        <v>11.732507778994844</v>
      </c>
      <c r="N21" s="193">
        <f>+IF(ISNUMBER(VLOOKUP($B21,'Cental Budget - hwy'!$B$16:$AQ$90,N$1,FALSE)),VLOOKUP($B21,'Cental Budget - hwy'!$B$16:$AQ$90,N$1,FALSE),0)+IF(ISNUMBER(VLOOKUP($B21,#REF!,N$1,FALSE)),VLOOKUP($B21,#REF!,N$1,FALSE),0)</f>
        <v>392235880.90999997</v>
      </c>
      <c r="O21" s="101">
        <f t="shared" si="5"/>
        <v>12.12850590321583</v>
      </c>
      <c r="P21" s="193">
        <f>+IF(ISNUMBER(VLOOKUP($B21,'Cental Budget - hwy'!$B$16:$AQ$90,P$1,FALSE)),VLOOKUP($B21,'Cental Budget - hwy'!$B$16:$AQ$90,P$1,FALSE),0)+IF(ISNUMBER(VLOOKUP($B21,#REF!,P$1,FALSE)),VLOOKUP($B21,#REF!,P$1,FALSE),0)</f>
        <v>354714031.35000002</v>
      </c>
      <c r="Q21" s="101">
        <f t="shared" si="6"/>
        <v>11.264338880597016</v>
      </c>
      <c r="R21" s="193">
        <f>+IF(ISNUMBER(VLOOKUP($B21,'Cental Budget - hwy'!$B$16:$AQ$90,R$1,FALSE)),VLOOKUP($B21,'Cental Budget - hwy'!$B$16:$AQ$90,R$1,FALSE),0)+IF(ISNUMBER(VLOOKUP($B21,#REF!,R$1,FALSE)),VLOOKUP($B21,#REF!,R$1,FALSE),0)</f>
        <v>429195069.32999998</v>
      </c>
      <c r="S21" s="101">
        <f t="shared" si="7"/>
        <v>12.865966544885122</v>
      </c>
      <c r="T21" s="193">
        <f>+IF(ISNUMBER(VLOOKUP($B21,'Cental Budget - hwy'!$B$16:$AQ$90,T$1,FALSE)),VLOOKUP($B21,'Cental Budget - hwy'!$B$16:$AQ$90,T$1,FALSE),0)+IF(ISNUMBER(VLOOKUP($B21,#REF!,T$1,FALSE)),VLOOKUP($B21,#REF!,T$1,FALSE),0)</f>
        <v>455945630.52919102</v>
      </c>
      <c r="U21" s="101">
        <f t="shared" si="8"/>
        <v>12.967158315051353</v>
      </c>
      <c r="V21" s="192">
        <f>+IF(ISNUMBER(VLOOKUP($B21,'Cental Budget - hwy'!$B$16:$AQ$90,V$1,FALSE)),VLOOKUP($B21,'Cental Budget - hwy'!$B$16:$AQ$90,V$1,FALSE),0)+IF(ISNUMBER(VLOOKUP($B21,#REF!,V$1,FALSE)),VLOOKUP($B21,#REF!,V$1,FALSE),0)</f>
        <v>30000000</v>
      </c>
      <c r="W21" s="192">
        <f>+IF(ISNUMBER(VLOOKUP($B21,'Cental Budget - hwy'!$B$16:$AQ$90,W$1,FALSE)),VLOOKUP($B21,'Cental Budget - hwy'!$B$16:$AQ$90,W$1,FALSE),0)+IF(ISNUMBER(VLOOKUP($B21,#REF!,W$1,FALSE)),VLOOKUP($B21,#REF!,W$1,FALSE),0)</f>
        <v>4575489.8600000003</v>
      </c>
      <c r="X21" s="193">
        <f>+IF(ISNUMBER(VLOOKUP($B21,'Cental Budget - hwy'!$B$16:$AQ$90,X$1,FALSE)),VLOOKUP($B21,'Cental Budget - hwy'!$B$16:$AQ$90,X$1,FALSE),0)+IF(ISNUMBER(VLOOKUP($B21,#REF!,X$1,FALSE)),VLOOKUP($B21,#REF!,X$1,FALSE),0)</f>
        <v>0</v>
      </c>
      <c r="Y21" s="101">
        <f t="shared" si="9"/>
        <v>0</v>
      </c>
      <c r="Z21" s="193">
        <f>+IF(ISNUMBER(VLOOKUP($B21,'Cental Budget - hwy'!$B$16:$AQ$90,Z$1,FALSE)),VLOOKUP($B21,'Cental Budget - hwy'!$B$16:$AQ$90,Z$1,FALSE),0)+IF(ISNUMBER(VLOOKUP($B21,#REF!,Z$1,FALSE)),VLOOKUP($B21,#REF!,Z$1,FALSE),0)</f>
        <v>0</v>
      </c>
      <c r="AA21" s="101">
        <f t="shared" si="10"/>
        <v>0</v>
      </c>
      <c r="AB21" s="191">
        <f>+IF(ISNUMBER(VLOOKUP($B21,'Cental Budget - hwy'!$B$16:$AQ$90,AB$1,FALSE)),VLOOKUP($B21,'Cental Budget - hwy'!$B$16:$AQ$90,AB$1,FALSE),0)+IF(ISNUMBER(VLOOKUP($B21,#REF!,AB$1,FALSE)),VLOOKUP($B21,#REF!,AB$1,FALSE),0)</f>
        <v>0</v>
      </c>
      <c r="AC21" s="101">
        <f>+IF(ISNUMBER(VLOOKUP($B21,'Cental Budget - hwy'!$B$16:$AQ$90,AC$1,FALSE)),VLOOKUP($B21,'Cental Budget - hwy'!$B$16:$AQ$90,AC$1,FALSE),0)+IF(ISNUMBER(VLOOKUP($B21,#REF!,AC$1,FALSE)),VLOOKUP($B21,#REF!,AC$1,FALSE),0)</f>
        <v>0</v>
      </c>
      <c r="AD21" s="194">
        <f>+IF(ISNUMBER(VLOOKUP($B21,'Cental Budget - hwy'!$B$16:$AQ$90,AD$1,FALSE)),VLOOKUP($B21,'Cental Budget - hwy'!$B$16:$AQ$90,AD$1,FALSE),0)+IF(ISNUMBER(VLOOKUP($B21,#REF!,AD$1,FALSE)),VLOOKUP($B21,#REF!,AD$1,FALSE),0)</f>
        <v>0</v>
      </c>
      <c r="AE21" s="193">
        <f>+IF(ISNUMBER(VLOOKUP($B21,'Cental Budget - hwy'!$B$16:$AQ$90,AE$1,FALSE)),VLOOKUP($B21,'Cental Budget - hwy'!$B$16:$AQ$90,AE$1,FALSE),0)+IF(ISNUMBER(VLOOKUP($B21,#REF!,AE$1,FALSE)),VLOOKUP($B21,#REF!,AE$1,FALSE),0)</f>
        <v>0</v>
      </c>
      <c r="AF21" s="101">
        <f t="shared" si="11"/>
        <v>0</v>
      </c>
      <c r="AG21" s="191">
        <f>+IF(ISNUMBER(VLOOKUP($B21,'Cental Budget - hwy'!$B$16:$AQ$90,AG$1,FALSE)),VLOOKUP($B21,'Cental Budget - hwy'!$B$16:$AQ$90,AG$1,FALSE),0)+IF(ISNUMBER(VLOOKUP($B21,#REF!,AG$1,FALSE)),VLOOKUP($B21,#REF!,AG$1,FALSE),0)</f>
        <v>0</v>
      </c>
      <c r="AH21" s="101">
        <f>+IF(ISNUMBER(VLOOKUP($B21,'Cental Budget - hwy'!$B$16:$AQ$90,AH$1,FALSE)),VLOOKUP($B21,'Cental Budget - hwy'!$B$16:$AQ$90,AH$1,FALSE),0)+IF(ISNUMBER(VLOOKUP($B21,#REF!,AH$1,FALSE)),VLOOKUP($B21,#REF!,AH$1,FALSE),0)</f>
        <v>0</v>
      </c>
      <c r="AI21" s="194">
        <f>+IF(ISNUMBER(VLOOKUP($B21,'Cental Budget - hwy'!$B$16:$AQ$90,AI$1,FALSE)),VLOOKUP($B21,'Cental Budget - hwy'!$B$16:$AQ$90,AI$1,FALSE),0)+IF(ISNUMBER(VLOOKUP($B21,#REF!,AI$1,FALSE)),VLOOKUP($B21,#REF!,AI$1,FALSE),0)</f>
        <v>0</v>
      </c>
      <c r="AJ21" s="193">
        <f>+IF(ISNUMBER(VLOOKUP($B21,'Cental Budget - hwy'!$B$16:$AQ$90,AJ$1,FALSE)),VLOOKUP($B21,'Cental Budget - hwy'!$B$16:$AQ$90,AJ$1,FALSE),0)+IF(ISNUMBER(VLOOKUP($B21,#REF!,AJ$1,FALSE)),VLOOKUP($B21,#REF!,AJ$1,FALSE),0)</f>
        <v>0</v>
      </c>
      <c r="AK21" s="101">
        <f t="shared" si="12"/>
        <v>0</v>
      </c>
      <c r="AL21" s="193">
        <f>+IF(ISNUMBER(VLOOKUP($B21,'Cental Budget - hwy'!$B$16:$AQ$90,AL$1,FALSE)),VLOOKUP($B21,'Cental Budget - hwy'!$B$16:$AQ$90,AL$1,FALSE),0)+IF(ISNUMBER(VLOOKUP($B21,#REF!,AL$1,FALSE)),VLOOKUP($B21,#REF!,AL$1,FALSE),0)</f>
        <v>0</v>
      </c>
      <c r="AM21" s="101">
        <f t="shared" si="13"/>
        <v>0</v>
      </c>
      <c r="AO21" s="105"/>
      <c r="AP21" s="106" t="s">
        <v>429</v>
      </c>
      <c r="AQ21" s="106">
        <f>+S51</f>
        <v>11.486881531298929</v>
      </c>
      <c r="AR21" s="106">
        <f>+U51</f>
        <v>11.299844898910312</v>
      </c>
      <c r="AS21" s="105">
        <f>+Y51</f>
        <v>11.299844898910312</v>
      </c>
      <c r="AT21" s="105">
        <f>+AF51</f>
        <v>11.026926777171898</v>
      </c>
      <c r="AV21" s="105"/>
      <c r="AW21" s="81"/>
      <c r="AX21" s="81"/>
      <c r="AY21" s="81"/>
      <c r="AZ21" s="81"/>
      <c r="BA21" s="81"/>
      <c r="BB21" s="81"/>
      <c r="BC21" s="81"/>
      <c r="BD21" s="81"/>
      <c r="BE21" s="81"/>
      <c r="BF21" s="81"/>
      <c r="BG21" s="81"/>
    </row>
    <row r="22" spans="2:125" ht="15" customHeight="1">
      <c r="B22" s="80">
        <v>7115</v>
      </c>
      <c r="C22" s="99" t="str">
        <f>IF(MasterSheet!$A$1=1,MasterSheet!C78,MasterSheet!B78)</f>
        <v>Akcize</v>
      </c>
      <c r="D22" s="193">
        <f>+IF(ISNUMBER(VLOOKUP($B22,'Cental Budget - hwy'!$B$16:$AQ$90,D$1,FALSE)),VLOOKUP($B22,'Cental Budget - hwy'!$B$16:$AQ$90,D$1,FALSE),0)+IF(ISNUMBER(VLOOKUP($B22,#REF!,D$1,FALSE)),VLOOKUP($B22,#REF!,D$1,FALSE),0)</f>
        <v>72376242.179999948</v>
      </c>
      <c r="E22" s="101">
        <f t="shared" si="0"/>
        <v>3.3680600390897646</v>
      </c>
      <c r="F22" s="193">
        <f>+IF(ISNUMBER(VLOOKUP($B22,'Cental Budget - hwy'!$B$16:$AQ$90,F$1,FALSE)),VLOOKUP($B22,'Cental Budget - hwy'!$B$16:$AQ$90,F$1,FALSE),0)+IF(ISNUMBER(VLOOKUP($B22,#REF!,F$1,FALSE)),VLOOKUP($B22,#REF!,F$1,FALSE),0)</f>
        <v>94538367.25</v>
      </c>
      <c r="G22" s="101">
        <f t="shared" si="1"/>
        <v>3.526893014362992</v>
      </c>
      <c r="H22" s="193">
        <f>+IF(ISNUMBER(VLOOKUP($B22,'Cental Budget - hwy'!$B$16:$AQ$90,H$1,FALSE)),VLOOKUP($B22,'Cental Budget - hwy'!$B$16:$AQ$90,H$1,FALSE),0)+IF(ISNUMBER(VLOOKUP($B22,#REF!,H$1,FALSE)),VLOOKUP($B22,#REF!,H$1,FALSE),0)</f>
        <v>120303864.65000001</v>
      </c>
      <c r="I22" s="101">
        <f t="shared" si="2"/>
        <v>3.8988807573891631</v>
      </c>
      <c r="J22" s="193">
        <f>+IF(ISNUMBER(VLOOKUP($B22,'Cental Budget - hwy'!$B$16:$AQ$90,J$1,FALSE)),VLOOKUP($B22,'Cental Budget - hwy'!$B$16:$AQ$90,J$1,FALSE),0)+IF(ISNUMBER(VLOOKUP($B22,#REF!,J$1,FALSE)),VLOOKUP($B22,#REF!,J$1,FALSE),0)</f>
        <v>128684864.44</v>
      </c>
      <c r="K22" s="101">
        <f t="shared" si="3"/>
        <v>4.3168354391143904</v>
      </c>
      <c r="L22" s="193">
        <f>+IF(ISNUMBER(VLOOKUP($B22,'Cental Budget - hwy'!$B$16:$AQ$90,L$1,FALSE)),VLOOKUP($B22,'Cental Budget - hwy'!$B$16:$AQ$90,L$1,FALSE),0)+IF(ISNUMBER(VLOOKUP($B22,#REF!,L$1,FALSE)),VLOOKUP($B22,#REF!,L$1,FALSE),0)</f>
        <v>134261371.03</v>
      </c>
      <c r="M22" s="101">
        <f t="shared" si="4"/>
        <v>4.3254307677190722</v>
      </c>
      <c r="N22" s="193">
        <f>+IF(ISNUMBER(VLOOKUP($B22,'Cental Budget - hwy'!$B$16:$AQ$90,N$1,FALSE)),VLOOKUP($B22,'Cental Budget - hwy'!$B$16:$AQ$90,N$1,FALSE),0)+IF(ISNUMBER(VLOOKUP($B22,#REF!,N$1,FALSE)),VLOOKUP($B22,#REF!,N$1,FALSE),0)</f>
        <v>143379590.77000001</v>
      </c>
      <c r="O22" s="101">
        <f t="shared" si="5"/>
        <v>4.4335062081014227</v>
      </c>
      <c r="P22" s="193">
        <f>+IF(ISNUMBER(VLOOKUP($B22,'Cental Budget - hwy'!$B$16:$AQ$90,P$1,FALSE)),VLOOKUP($B22,'Cental Budget - hwy'!$B$16:$AQ$90,P$1,FALSE),0)+IF(ISNUMBER(VLOOKUP($B22,#REF!,P$1,FALSE)),VLOOKUP($B22,#REF!,P$1,FALSE),0)</f>
        <v>151766097.75999999</v>
      </c>
      <c r="Q22" s="101">
        <f t="shared" si="6"/>
        <v>4.8195013578913937</v>
      </c>
      <c r="R22" s="193">
        <f>+IF(ISNUMBER(VLOOKUP($B22,'Cental Budget - hwy'!$B$16:$AQ$90,R$1,FALSE)),VLOOKUP($B22,'Cental Budget - hwy'!$B$16:$AQ$90,R$1,FALSE),0)+IF(ISNUMBER(VLOOKUP($B22,#REF!,R$1,FALSE)),VLOOKUP($B22,#REF!,R$1,FALSE),0)</f>
        <v>161445470.17000002</v>
      </c>
      <c r="S22" s="101">
        <f t="shared" si="7"/>
        <v>4.8396455748502225</v>
      </c>
      <c r="T22" s="193">
        <f>+IF(ISNUMBER(VLOOKUP($B22,'Cental Budget - hwy'!$B$16:$AQ$90,T$1,FALSE)),VLOOKUP($B22,'Cental Budget - hwy'!$B$16:$AQ$90,T$1,FALSE),0)+IF(ISNUMBER(VLOOKUP($B22,#REF!,T$1,FALSE)),VLOOKUP($B22,#REF!,T$1,FALSE),0)</f>
        <v>171111988.52539012</v>
      </c>
      <c r="U22" s="101">
        <f t="shared" si="8"/>
        <v>4.8664491909631922</v>
      </c>
      <c r="V22" s="227">
        <f>+IF(ISNUMBER(VLOOKUP($B22,'Cental Budget - hwy'!$B$16:$AQ$90,V$1,FALSE)),VLOOKUP($B22,'Cental Budget - hwy'!$B$16:$AQ$90,V$1,FALSE),0)+IF(ISNUMBER(VLOOKUP($B22,#REF!,V$1,FALSE)),VLOOKUP($B22,#REF!,V$1,FALSE),0)</f>
        <v>4000000</v>
      </c>
      <c r="W22" s="192">
        <f>+IF(ISNUMBER(VLOOKUP($B22,'Cental Budget - hwy'!$B$16:$AQ$90,W$1,FALSE)),VLOOKUP($B22,'Cental Budget - hwy'!$B$16:$AQ$90,W$1,FALSE),0)+IF(ISNUMBER(VLOOKUP($B22,#REF!,W$1,FALSE)),VLOOKUP($B22,#REF!,W$1,FALSE),0)</f>
        <v>0</v>
      </c>
      <c r="X22" s="193">
        <f>+IF(ISNUMBER(VLOOKUP($B22,'Cental Budget - hwy'!$B$16:$AQ$90,X$1,FALSE)),VLOOKUP($B22,'Cental Budget - hwy'!$B$16:$AQ$90,X$1,FALSE),0)+IF(ISNUMBER(VLOOKUP($B22,#REF!,X$1,FALSE)),VLOOKUP($B22,#REF!,X$1,FALSE),0)</f>
        <v>0</v>
      </c>
      <c r="Y22" s="101">
        <f t="shared" si="9"/>
        <v>0</v>
      </c>
      <c r="Z22" s="193">
        <f>+IF(ISNUMBER(VLOOKUP($B22,'Cental Budget - hwy'!$B$16:$AQ$90,Z$1,FALSE)),VLOOKUP($B22,'Cental Budget - hwy'!$B$16:$AQ$90,Z$1,FALSE),0)+IF(ISNUMBER(VLOOKUP($B22,#REF!,Z$1,FALSE)),VLOOKUP($B22,#REF!,Z$1,FALSE),0)</f>
        <v>0</v>
      </c>
      <c r="AA22" s="101">
        <f t="shared" si="10"/>
        <v>0</v>
      </c>
      <c r="AB22" s="193">
        <f>+IF(ISNUMBER(VLOOKUP($B22,'Cental Budget - hwy'!$B$16:$AQ$90,AB$1,FALSE)),VLOOKUP($B22,'Cental Budget - hwy'!$B$16:$AQ$90,AB$1,FALSE),0)+IF(ISNUMBER(VLOOKUP($B22,#REF!,AB$1,FALSE)),VLOOKUP($B22,#REF!,AB$1,FALSE),0)</f>
        <v>0</v>
      </c>
      <c r="AC22" s="101">
        <f>+IF(ISNUMBER(VLOOKUP($B22,'Cental Budget - hwy'!$B$16:$AQ$90,AC$1,FALSE)),VLOOKUP($B22,'Cental Budget - hwy'!$B$16:$AQ$90,AC$1,FALSE),0)+IF(ISNUMBER(VLOOKUP($B22,#REF!,AC$1,FALSE)),VLOOKUP($B22,#REF!,AC$1,FALSE),0)</f>
        <v>0</v>
      </c>
      <c r="AD22" s="194">
        <f>+IF(ISNUMBER(VLOOKUP($B22,'Cental Budget - hwy'!$B$16:$AQ$90,AD$1,FALSE)),VLOOKUP($B22,'Cental Budget - hwy'!$B$16:$AQ$90,AD$1,FALSE),0)+IF(ISNUMBER(VLOOKUP($B22,#REF!,AD$1,FALSE)),VLOOKUP($B22,#REF!,AD$1,FALSE),0)</f>
        <v>0</v>
      </c>
      <c r="AE22" s="193">
        <f>+IF(ISNUMBER(VLOOKUP($B22,'Cental Budget - hwy'!$B$16:$AQ$90,AE$1,FALSE)),VLOOKUP($B22,'Cental Budget - hwy'!$B$16:$AQ$90,AE$1,FALSE),0)+IF(ISNUMBER(VLOOKUP($B22,#REF!,AE$1,FALSE)),VLOOKUP($B22,#REF!,AE$1,FALSE),0)</f>
        <v>0</v>
      </c>
      <c r="AF22" s="101">
        <f t="shared" si="11"/>
        <v>0</v>
      </c>
      <c r="AG22" s="193">
        <f>+IF(ISNUMBER(VLOOKUP($B22,'Cental Budget - hwy'!$B$16:$AQ$90,AG$1,FALSE)),VLOOKUP($B22,'Cental Budget - hwy'!$B$16:$AQ$90,AG$1,FALSE),0)+IF(ISNUMBER(VLOOKUP($B22,#REF!,AG$1,FALSE)),VLOOKUP($B22,#REF!,AG$1,FALSE),0)</f>
        <v>0</v>
      </c>
      <c r="AH22" s="101">
        <f>+IF(ISNUMBER(VLOOKUP($B22,'Cental Budget - hwy'!$B$16:$AQ$90,AH$1,FALSE)),VLOOKUP($B22,'Cental Budget - hwy'!$B$16:$AQ$90,AH$1,FALSE),0)+IF(ISNUMBER(VLOOKUP($B22,#REF!,AH$1,FALSE)),VLOOKUP($B22,#REF!,AH$1,FALSE),0)</f>
        <v>0</v>
      </c>
      <c r="AI22" s="194">
        <f>+IF(ISNUMBER(VLOOKUP($B22,'Cental Budget - hwy'!$B$16:$AQ$90,AI$1,FALSE)),VLOOKUP($B22,'Cental Budget - hwy'!$B$16:$AQ$90,AI$1,FALSE),0)+IF(ISNUMBER(VLOOKUP($B22,#REF!,AI$1,FALSE)),VLOOKUP($B22,#REF!,AI$1,FALSE),0)</f>
        <v>0</v>
      </c>
      <c r="AJ22" s="193">
        <f>+IF(ISNUMBER(VLOOKUP($B22,'Cental Budget - hwy'!$B$16:$AQ$90,AJ$1,FALSE)),VLOOKUP($B22,'Cental Budget - hwy'!$B$16:$AQ$90,AJ$1,FALSE),0)+IF(ISNUMBER(VLOOKUP($B22,#REF!,AJ$1,FALSE)),VLOOKUP($B22,#REF!,AJ$1,FALSE),0)</f>
        <v>0</v>
      </c>
      <c r="AK22" s="101">
        <f t="shared" si="12"/>
        <v>0</v>
      </c>
      <c r="AL22" s="193">
        <f>+IF(ISNUMBER(VLOOKUP($B22,'Cental Budget - hwy'!$B$16:$AQ$90,AL$1,FALSE)),VLOOKUP($B22,'Cental Budget - hwy'!$B$16:$AQ$90,AL$1,FALSE),0)+IF(ISNUMBER(VLOOKUP($B22,#REF!,AL$1,FALSE)),VLOOKUP($B22,#REF!,AL$1,FALSE),0)</f>
        <v>0</v>
      </c>
      <c r="AM22" s="101">
        <f t="shared" si="13"/>
        <v>0</v>
      </c>
      <c r="AO22" s="105"/>
      <c r="AP22" s="106" t="s">
        <v>229</v>
      </c>
      <c r="AQ22" s="106">
        <f>+S35-AQ20-AQ21</f>
        <v>3.9323929038976928</v>
      </c>
      <c r="AR22" s="106">
        <f>+U35-AR20-AR21</f>
        <v>1.5804955210723968</v>
      </c>
      <c r="AS22" s="106">
        <f>+Y35-AS20-AS21</f>
        <v>2.4380568359822732</v>
      </c>
      <c r="AT22" s="106">
        <f>+AF35-AT20-AT21</f>
        <v>4.6979493124265481</v>
      </c>
      <c r="AV22" s="106"/>
      <c r="AW22" s="81"/>
      <c r="AX22" s="81"/>
      <c r="AY22" s="81"/>
      <c r="AZ22" s="81"/>
      <c r="BA22" s="81"/>
      <c r="BB22" s="81"/>
      <c r="BC22" s="81"/>
      <c r="BD22" s="81"/>
      <c r="BE22" s="81"/>
      <c r="BF22" s="81"/>
      <c r="BG22" s="81"/>
    </row>
    <row r="23" spans="2:125" ht="15" customHeight="1">
      <c r="B23" s="80">
        <v>7116</v>
      </c>
      <c r="C23" s="99" t="str">
        <f>IF(MasterSheet!$A$1=1,MasterSheet!C79,MasterSheet!B79)</f>
        <v>Porez na međunarodnu trgovinu i transakcije</v>
      </c>
      <c r="D23" s="193">
        <f>+IF(ISNUMBER(VLOOKUP($B23,'Cental Budget - hwy'!$B$16:$AQ$90,D$1,FALSE)),VLOOKUP($B23,'Cental Budget - hwy'!$B$16:$AQ$90,D$1,FALSE),0)+IF(ISNUMBER(VLOOKUP($B23,#REF!,D$1,FALSE)),VLOOKUP($B23,#REF!,D$1,FALSE),0)</f>
        <v>56766223.619999953</v>
      </c>
      <c r="E23" s="101">
        <f t="shared" si="0"/>
        <v>2.6416410079575572</v>
      </c>
      <c r="F23" s="193">
        <f>+IF(ISNUMBER(VLOOKUP($B23,'Cental Budget - hwy'!$B$16:$AQ$90,F$1,FALSE)),VLOOKUP($B23,'Cental Budget - hwy'!$B$16:$AQ$90,F$1,FALSE),0)+IF(ISNUMBER(VLOOKUP($B23,#REF!,F$1,FALSE)),VLOOKUP($B23,#REF!,F$1,FALSE),0)</f>
        <v>68495722.040000007</v>
      </c>
      <c r="G23" s="101">
        <f t="shared" si="1"/>
        <v>2.5553337825032645</v>
      </c>
      <c r="H23" s="193">
        <f>+IF(ISNUMBER(VLOOKUP($B23,'Cental Budget - hwy'!$B$16:$AQ$90,H$1,FALSE)),VLOOKUP($B23,'Cental Budget - hwy'!$B$16:$AQ$90,H$1,FALSE),0)+IF(ISNUMBER(VLOOKUP($B23,#REF!,H$1,FALSE)),VLOOKUP($B23,#REF!,H$1,FALSE),0)</f>
        <v>72926890</v>
      </c>
      <c r="I23" s="101">
        <f t="shared" si="2"/>
        <v>2.3634589707026183</v>
      </c>
      <c r="J23" s="193">
        <f>+IF(ISNUMBER(VLOOKUP($B23,'Cental Budget - hwy'!$B$16:$AQ$90,J$1,FALSE)),VLOOKUP($B23,'Cental Budget - hwy'!$B$16:$AQ$90,J$1,FALSE),0)+IF(ISNUMBER(VLOOKUP($B23,#REF!,J$1,FALSE)),VLOOKUP($B23,#REF!,J$1,FALSE),0)</f>
        <v>49121124.340000004</v>
      </c>
      <c r="K23" s="101">
        <f t="shared" si="3"/>
        <v>1.6478069218383093</v>
      </c>
      <c r="L23" s="193">
        <f>+IF(ISNUMBER(VLOOKUP($B23,'Cental Budget - hwy'!$B$16:$AQ$90,L$1,FALSE)),VLOOKUP($B23,'Cental Budget - hwy'!$B$16:$AQ$90,L$1,FALSE),0)+IF(ISNUMBER(VLOOKUP($B23,#REF!,L$1,FALSE)),VLOOKUP($B23,#REF!,L$1,FALSE),0)</f>
        <v>50811537.57</v>
      </c>
      <c r="M23" s="101">
        <f t="shared" si="4"/>
        <v>1.6369696382087628</v>
      </c>
      <c r="N23" s="193">
        <f>+IF(ISNUMBER(VLOOKUP($B23,'Cental Budget - hwy'!$B$16:$AQ$90,N$1,FALSE)),VLOOKUP($B23,'Cental Budget - hwy'!$B$16:$AQ$90,N$1,FALSE),0)+IF(ISNUMBER(VLOOKUP($B23,#REF!,N$1,FALSE)),VLOOKUP($B23,#REF!,N$1,FALSE),0)</f>
        <v>45327985.280000009</v>
      </c>
      <c r="O23" s="101">
        <f t="shared" si="5"/>
        <v>1.4016074607297468</v>
      </c>
      <c r="P23" s="193">
        <f>+IF(ISNUMBER(VLOOKUP($B23,'Cental Budget - hwy'!$B$16:$AQ$90,P$1,FALSE)),VLOOKUP($B23,'Cental Budget - hwy'!$B$16:$AQ$90,P$1,FALSE),0)+IF(ISNUMBER(VLOOKUP($B23,#REF!,P$1,FALSE)),VLOOKUP($B23,#REF!,P$1,FALSE),0)</f>
        <v>28965025.329999998</v>
      </c>
      <c r="Q23" s="101">
        <f t="shared" si="6"/>
        <v>0.91981661892664335</v>
      </c>
      <c r="R23" s="193">
        <f>+IF(ISNUMBER(VLOOKUP($B23,'Cental Budget - hwy'!$B$16:$AQ$90,R$1,FALSE)),VLOOKUP($B23,'Cental Budget - hwy'!$B$16:$AQ$90,R$1,FALSE),0)+IF(ISNUMBER(VLOOKUP($B23,#REF!,R$1,FALSE)),VLOOKUP($B23,#REF!,R$1,FALSE),0)</f>
        <v>22269382.640000001</v>
      </c>
      <c r="S23" s="101">
        <f t="shared" si="7"/>
        <v>0.66756855447746977</v>
      </c>
      <c r="T23" s="193">
        <f>+IF(ISNUMBER(VLOOKUP($B23,'Cental Budget - hwy'!$B$16:$AQ$90,T$1,FALSE)),VLOOKUP($B23,'Cental Budget - hwy'!$B$16:$AQ$90,T$1,FALSE),0)+IF(ISNUMBER(VLOOKUP($B23,#REF!,T$1,FALSE)),VLOOKUP($B23,#REF!,T$1,FALSE),0)</f>
        <v>23735353.696558259</v>
      </c>
      <c r="U23" s="101">
        <f t="shared" si="8"/>
        <v>0.67503682114419394</v>
      </c>
      <c r="V23" s="192">
        <f>+IF(ISNUMBER(VLOOKUP($B23,'Cental Budget - hwy'!$B$16:$AQ$90,V$1,FALSE)),VLOOKUP($B23,'Cental Budget - hwy'!$B$16:$AQ$90,V$1,FALSE),0)+IF(ISNUMBER(VLOOKUP($B23,#REF!,V$1,FALSE)),VLOOKUP($B23,#REF!,V$1,FALSE),0)</f>
        <v>0</v>
      </c>
      <c r="W23" s="192">
        <f>+IF(ISNUMBER(VLOOKUP($B23,'Cental Budget - hwy'!$B$16:$AQ$90,W$1,FALSE)),VLOOKUP($B23,'Cental Budget - hwy'!$B$16:$AQ$90,W$1,FALSE),0)+IF(ISNUMBER(VLOOKUP($B23,#REF!,W$1,FALSE)),VLOOKUP($B23,#REF!,W$1,FALSE),0)</f>
        <v>0</v>
      </c>
      <c r="X23" s="193">
        <f>+IF(ISNUMBER(VLOOKUP($B23,'Cental Budget - hwy'!$B$16:$AQ$90,X$1,FALSE)),VLOOKUP($B23,'Cental Budget - hwy'!$B$16:$AQ$90,X$1,FALSE),0)+IF(ISNUMBER(VLOOKUP($B23,#REF!,X$1,FALSE)),VLOOKUP($B23,#REF!,X$1,FALSE),0)</f>
        <v>0</v>
      </c>
      <c r="Y23" s="101">
        <f t="shared" si="9"/>
        <v>0</v>
      </c>
      <c r="Z23" s="193">
        <f>+IF(ISNUMBER(VLOOKUP($B23,'Cental Budget - hwy'!$B$16:$AQ$90,Z$1,FALSE)),VLOOKUP($B23,'Cental Budget - hwy'!$B$16:$AQ$90,Z$1,FALSE),0)+IF(ISNUMBER(VLOOKUP($B23,#REF!,Z$1,FALSE)),VLOOKUP($B23,#REF!,Z$1,FALSE),0)</f>
        <v>0</v>
      </c>
      <c r="AA23" s="101">
        <f t="shared" si="10"/>
        <v>0</v>
      </c>
      <c r="AB23" s="193">
        <f>+IF(ISNUMBER(VLOOKUP($B23,'Cental Budget - hwy'!$B$16:$AQ$90,AB$1,FALSE)),VLOOKUP($B23,'Cental Budget - hwy'!$B$16:$AQ$90,AB$1,FALSE),0)+IF(ISNUMBER(VLOOKUP($B23,#REF!,AB$1,FALSE)),VLOOKUP($B23,#REF!,AB$1,FALSE),0)</f>
        <v>0</v>
      </c>
      <c r="AC23" s="101">
        <f>+IF(ISNUMBER(VLOOKUP($B23,'Cental Budget - hwy'!$B$16:$AQ$90,AC$1,FALSE)),VLOOKUP($B23,'Cental Budget - hwy'!$B$16:$AQ$90,AC$1,FALSE),0)+IF(ISNUMBER(VLOOKUP($B23,#REF!,AC$1,FALSE)),VLOOKUP($B23,#REF!,AC$1,FALSE),0)</f>
        <v>0</v>
      </c>
      <c r="AD23" s="194">
        <f>+IF(ISNUMBER(VLOOKUP($B23,'Cental Budget - hwy'!$B$16:$AQ$90,AD$1,FALSE)),VLOOKUP($B23,'Cental Budget - hwy'!$B$16:$AQ$90,AD$1,FALSE),0)+IF(ISNUMBER(VLOOKUP($B23,#REF!,AD$1,FALSE)),VLOOKUP($B23,#REF!,AD$1,FALSE),0)</f>
        <v>0</v>
      </c>
      <c r="AE23" s="193">
        <f>+IF(ISNUMBER(VLOOKUP($B23,'Cental Budget - hwy'!$B$16:$AQ$90,AE$1,FALSE)),VLOOKUP($B23,'Cental Budget - hwy'!$B$16:$AQ$90,AE$1,FALSE),0)+IF(ISNUMBER(VLOOKUP($B23,#REF!,AE$1,FALSE)),VLOOKUP($B23,#REF!,AE$1,FALSE),0)</f>
        <v>0</v>
      </c>
      <c r="AF23" s="101">
        <f t="shared" si="11"/>
        <v>0</v>
      </c>
      <c r="AG23" s="193">
        <f>+IF(ISNUMBER(VLOOKUP($B23,'Cental Budget - hwy'!$B$16:$AQ$90,AG$1,FALSE)),VLOOKUP($B23,'Cental Budget - hwy'!$B$16:$AQ$90,AG$1,FALSE),0)+IF(ISNUMBER(VLOOKUP($B23,#REF!,AG$1,FALSE)),VLOOKUP($B23,#REF!,AG$1,FALSE),0)</f>
        <v>0</v>
      </c>
      <c r="AH23" s="101">
        <f>+IF(ISNUMBER(VLOOKUP($B23,'Cental Budget - hwy'!$B$16:$AQ$90,AH$1,FALSE)),VLOOKUP($B23,'Cental Budget - hwy'!$B$16:$AQ$90,AH$1,FALSE),0)+IF(ISNUMBER(VLOOKUP($B23,#REF!,AH$1,FALSE)),VLOOKUP($B23,#REF!,AH$1,FALSE),0)</f>
        <v>0</v>
      </c>
      <c r="AI23" s="194">
        <f>+IF(ISNUMBER(VLOOKUP($B23,'Cental Budget - hwy'!$B$16:$AQ$90,AI$1,FALSE)),VLOOKUP($B23,'Cental Budget - hwy'!$B$16:$AQ$90,AI$1,FALSE),0)+IF(ISNUMBER(VLOOKUP($B23,#REF!,AI$1,FALSE)),VLOOKUP($B23,#REF!,AI$1,FALSE),0)</f>
        <v>0</v>
      </c>
      <c r="AJ23" s="193">
        <f>+IF(ISNUMBER(VLOOKUP($B23,'Cental Budget - hwy'!$B$16:$AQ$90,AJ$1,FALSE)),VLOOKUP($B23,'Cental Budget - hwy'!$B$16:$AQ$90,AJ$1,FALSE),0)+IF(ISNUMBER(VLOOKUP($B23,#REF!,AJ$1,FALSE)),VLOOKUP($B23,#REF!,AJ$1,FALSE),0)</f>
        <v>0</v>
      </c>
      <c r="AK23" s="101">
        <f t="shared" si="12"/>
        <v>0</v>
      </c>
      <c r="AL23" s="193">
        <f>+IF(ISNUMBER(VLOOKUP($B23,'Cental Budget - hwy'!$B$16:$AQ$90,AL$1,FALSE)),VLOOKUP($B23,'Cental Budget - hwy'!$B$16:$AQ$90,AL$1,FALSE),0)+IF(ISNUMBER(VLOOKUP($B23,#REF!,AL$1,FALSE)),VLOOKUP($B23,#REF!,AL$1,FALSE),0)</f>
        <v>0</v>
      </c>
      <c r="AM23" s="101">
        <f t="shared" si="13"/>
        <v>0</v>
      </c>
      <c r="AO23" s="105"/>
      <c r="AP23" s="106"/>
      <c r="AQ23" s="106"/>
      <c r="AR23" s="106"/>
      <c r="AS23" s="106"/>
      <c r="AT23" s="107"/>
      <c r="AU23" s="81"/>
      <c r="AV23" s="81"/>
      <c r="AW23" s="81"/>
      <c r="AX23" s="81"/>
      <c r="AY23" s="81"/>
      <c r="AZ23" s="81"/>
      <c r="BA23" s="81"/>
      <c r="BB23" s="81"/>
      <c r="BC23" s="81"/>
      <c r="BD23" s="81"/>
      <c r="BE23" s="81"/>
      <c r="BF23" s="81"/>
      <c r="BG23" s="81"/>
      <c r="DS23" s="174"/>
      <c r="DT23" s="174"/>
      <c r="DU23" s="81"/>
    </row>
    <row r="24" spans="2:125" ht="15" customHeight="1">
      <c r="B24" s="80">
        <v>7117</v>
      </c>
      <c r="C24" s="99" t="s">
        <v>11</v>
      </c>
      <c r="D24" s="193">
        <f>+IF(ISNUMBER(VLOOKUP($B24,'Cental Budget - hwy'!$B$16:$AQ$90,D$1,FALSE)),VLOOKUP($B24,'Cental Budget - hwy'!$B$16:$AQ$90,D$1,FALSE),0)+IF(ISNUMBER(VLOOKUP($B24,#REF!,D$1,FALSE)),VLOOKUP($B24,#REF!,D$1,FALSE),0)</f>
        <v>0</v>
      </c>
      <c r="E24" s="101">
        <f t="shared" si="0"/>
        <v>0</v>
      </c>
      <c r="F24" s="193">
        <f>+IF(ISNUMBER(VLOOKUP($B24,'Cental Budget - hwy'!$B$16:$AQ$90,F$1,FALSE)),VLOOKUP($B24,'Cental Budget - hwy'!$B$16:$AQ$90,F$1,FALSE),0)+IF(ISNUMBER(VLOOKUP($B24,#REF!,F$1,FALSE)),VLOOKUP($B24,#REF!,F$1,FALSE),0)</f>
        <v>0</v>
      </c>
      <c r="G24" s="101">
        <f t="shared" si="1"/>
        <v>0</v>
      </c>
      <c r="H24" s="193">
        <f>+IF(ISNUMBER(VLOOKUP($B24,'Cental Budget - hwy'!$B$16:$AQ$90,H$1,FALSE)),VLOOKUP($B24,'Cental Budget - hwy'!$B$16:$AQ$90,H$1,FALSE),0)+IF(ISNUMBER(VLOOKUP($B24,#REF!,H$1,FALSE)),VLOOKUP($B24,#REF!,H$1,FALSE),0)</f>
        <v>0</v>
      </c>
      <c r="I24" s="101">
        <f t="shared" si="2"/>
        <v>0</v>
      </c>
      <c r="J24" s="193">
        <f>+IF(ISNUMBER(VLOOKUP($B24,'Cental Budget - hwy'!$B$16:$AQ$90,J$1,FALSE)),VLOOKUP($B24,'Cental Budget - hwy'!$B$16:$AQ$90,J$1,FALSE),0)+IF(ISNUMBER(VLOOKUP($B24,#REF!,J$1,FALSE)),VLOOKUP($B24,#REF!,J$1,FALSE),0)</f>
        <v>0</v>
      </c>
      <c r="K24" s="101">
        <f t="shared" si="3"/>
        <v>0</v>
      </c>
      <c r="L24" s="193">
        <f>+IF(ISNUMBER(VLOOKUP($B24,'Cental Budget - hwy'!$B$16:$AQ$90,L$1,FALSE)),VLOOKUP($B24,'Cental Budget - hwy'!$B$16:$AQ$90,L$1,FALSE),0)+IF(ISNUMBER(VLOOKUP($B24,#REF!,L$1,FALSE)),VLOOKUP($B24,#REF!,L$1,FALSE),0)</f>
        <v>0</v>
      </c>
      <c r="M24" s="101">
        <f t="shared" si="4"/>
        <v>0</v>
      </c>
      <c r="N24" s="193">
        <f>+IF(ISNUMBER(VLOOKUP($B24,'Cental Budget - hwy'!$B$16:$AQ$90,N$1,FALSE)),VLOOKUP($B24,'Cental Budget - hwy'!$B$16:$AQ$90,N$1,FALSE),0)+IF(ISNUMBER(VLOOKUP($B24,#REF!,N$1,FALSE)),VLOOKUP($B24,#REF!,N$1,FALSE),0)</f>
        <v>0</v>
      </c>
      <c r="O24" s="101">
        <f t="shared" si="5"/>
        <v>0</v>
      </c>
      <c r="P24" s="193">
        <f>+IF(ISNUMBER(VLOOKUP($B24,'Cental Budget - hwy'!$B$16:$AQ$90,P$1,FALSE)),VLOOKUP($B24,'Cental Budget - hwy'!$B$16:$AQ$90,P$1,FALSE),0)+IF(ISNUMBER(VLOOKUP($B24,#REF!,P$1,FALSE)),VLOOKUP($B24,#REF!,P$1,FALSE),0)</f>
        <v>0</v>
      </c>
      <c r="Q24" s="101">
        <f t="shared" si="6"/>
        <v>0</v>
      </c>
      <c r="R24" s="193">
        <f>+IF(ISNUMBER(VLOOKUP($B24,'Cental Budget - hwy'!$B$16:$AQ$90,R$1,FALSE)),VLOOKUP($B24,'Cental Budget - hwy'!$B$16:$AQ$90,R$1,FALSE),0)+IF(ISNUMBER(VLOOKUP($B24,#REF!,R$1,FALSE)),VLOOKUP($B24,#REF!,R$1,FALSE),0)</f>
        <v>0</v>
      </c>
      <c r="S24" s="101">
        <f t="shared" si="7"/>
        <v>0</v>
      </c>
      <c r="T24" s="193">
        <f>+IF(ISNUMBER(VLOOKUP($B24,'Cental Budget - hwy'!$B$16:$AQ$90,T$1,FALSE)),VLOOKUP($B24,'Cental Budget - hwy'!$B$16:$AQ$90,T$1,FALSE),0)+IF(ISNUMBER(VLOOKUP($B24,#REF!,T$1,FALSE)),VLOOKUP($B24,#REF!,T$1,FALSE),0)</f>
        <v>0</v>
      </c>
      <c r="U24" s="101">
        <f t="shared" si="8"/>
        <v>0</v>
      </c>
      <c r="V24" s="192">
        <f>+IF(ISNUMBER(VLOOKUP($B24,'Cental Budget - hwy'!$B$16:$AQ$90,V$1,FALSE)),VLOOKUP($B24,'Cental Budget - hwy'!$B$16:$AQ$90,V$1,FALSE),0)+IF(ISNUMBER(VLOOKUP($B24,#REF!,V$1,FALSE)),VLOOKUP($B24,#REF!,V$1,FALSE),0)</f>
        <v>0</v>
      </c>
      <c r="W24" s="192">
        <f>+IF(ISNUMBER(VLOOKUP($B24,'Cental Budget - hwy'!$B$16:$AQ$90,W$1,FALSE)),VLOOKUP($B24,'Cental Budget - hwy'!$B$16:$AQ$90,W$1,FALSE),0)+IF(ISNUMBER(VLOOKUP($B24,#REF!,W$1,FALSE)),VLOOKUP($B24,#REF!,W$1,FALSE),0)</f>
        <v>0</v>
      </c>
      <c r="X24" s="193">
        <f>+IF(ISNUMBER(VLOOKUP($B24,'Cental Budget - hwy'!$B$16:$AQ$90,X$1,FALSE)),VLOOKUP($B24,'Cental Budget - hwy'!$B$16:$AQ$90,X$1,FALSE),0)+IF(ISNUMBER(VLOOKUP($B24,#REF!,X$1,FALSE)),VLOOKUP($B24,#REF!,X$1,FALSE),0)</f>
        <v>0</v>
      </c>
      <c r="Y24" s="101">
        <f t="shared" si="9"/>
        <v>0</v>
      </c>
      <c r="Z24" s="193">
        <f>+IF(ISNUMBER(VLOOKUP($B24,'Cental Budget - hwy'!$B$16:$AQ$90,Z$1,FALSE)),VLOOKUP($B24,'Cental Budget - hwy'!$B$16:$AQ$90,Z$1,FALSE),0)+IF(ISNUMBER(VLOOKUP($B24,#REF!,Z$1,FALSE)),VLOOKUP($B24,#REF!,Z$1,FALSE),0)</f>
        <v>0</v>
      </c>
      <c r="AA24" s="101">
        <f t="shared" si="10"/>
        <v>0</v>
      </c>
      <c r="AB24" s="193">
        <f>+IF(ISNUMBER(VLOOKUP($B24,'Cental Budget - hwy'!$B$16:$AQ$90,AB$1,FALSE)),VLOOKUP($B24,'Cental Budget - hwy'!$B$16:$AQ$90,AB$1,FALSE),0)+IF(ISNUMBER(VLOOKUP($B24,#REF!,AB$1,FALSE)),VLOOKUP($B24,#REF!,AB$1,FALSE),0)</f>
        <v>0</v>
      </c>
      <c r="AC24" s="101">
        <f>+IF(ISNUMBER(VLOOKUP($B24,'Cental Budget - hwy'!$B$16:$AQ$90,AC$1,FALSE)),VLOOKUP($B24,'Cental Budget - hwy'!$B$16:$AQ$90,AC$1,FALSE),0)+IF(ISNUMBER(VLOOKUP($B24,#REF!,AC$1,FALSE)),VLOOKUP($B24,#REF!,AC$1,FALSE),0)</f>
        <v>0</v>
      </c>
      <c r="AD24" s="194">
        <f>+IF(ISNUMBER(VLOOKUP($B24,'Cental Budget - hwy'!$B$16:$AQ$90,AD$1,FALSE)),VLOOKUP($B24,'Cental Budget - hwy'!$B$16:$AQ$90,AD$1,FALSE),0)+IF(ISNUMBER(VLOOKUP($B24,#REF!,AD$1,FALSE)),VLOOKUP($B24,#REF!,AD$1,FALSE),0)</f>
        <v>0</v>
      </c>
      <c r="AE24" s="193">
        <f>+IF(ISNUMBER(VLOOKUP($B24,'Cental Budget - hwy'!$B$16:$AQ$90,AE$1,FALSE)),VLOOKUP($B24,'Cental Budget - hwy'!$B$16:$AQ$90,AE$1,FALSE),0)+IF(ISNUMBER(VLOOKUP($B24,#REF!,AE$1,FALSE)),VLOOKUP($B24,#REF!,AE$1,FALSE),0)</f>
        <v>0</v>
      </c>
      <c r="AF24" s="101">
        <f t="shared" si="11"/>
        <v>0</v>
      </c>
      <c r="AG24" s="193">
        <f>+IF(ISNUMBER(VLOOKUP($B24,'Cental Budget - hwy'!$B$16:$AQ$90,AG$1,FALSE)),VLOOKUP($B24,'Cental Budget - hwy'!$B$16:$AQ$90,AG$1,FALSE),0)+IF(ISNUMBER(VLOOKUP($B24,#REF!,AG$1,FALSE)),VLOOKUP($B24,#REF!,AG$1,FALSE),0)</f>
        <v>0</v>
      </c>
      <c r="AH24" s="101">
        <f>+IF(ISNUMBER(VLOOKUP($B24,'Cental Budget - hwy'!$B$16:$AQ$90,AH$1,FALSE)),VLOOKUP($B24,'Cental Budget - hwy'!$B$16:$AQ$90,AH$1,FALSE),0)+IF(ISNUMBER(VLOOKUP($B24,#REF!,AH$1,FALSE)),VLOOKUP($B24,#REF!,AH$1,FALSE),0)</f>
        <v>0</v>
      </c>
      <c r="AI24" s="194">
        <f>+IF(ISNUMBER(VLOOKUP($B24,'Cental Budget - hwy'!$B$16:$AQ$90,AI$1,FALSE)),VLOOKUP($B24,'Cental Budget - hwy'!$B$16:$AQ$90,AI$1,FALSE),0)+IF(ISNUMBER(VLOOKUP($B24,#REF!,AI$1,FALSE)),VLOOKUP($B24,#REF!,AI$1,FALSE),0)</f>
        <v>0</v>
      </c>
      <c r="AJ24" s="193">
        <f>+IF(ISNUMBER(VLOOKUP($B24,'Cental Budget - hwy'!$B$16:$AQ$90,AJ$1,FALSE)),VLOOKUP($B24,'Cental Budget - hwy'!$B$16:$AQ$90,AJ$1,FALSE),0)+IF(ISNUMBER(VLOOKUP($B24,#REF!,AJ$1,FALSE)),VLOOKUP($B24,#REF!,AJ$1,FALSE),0)</f>
        <v>0</v>
      </c>
      <c r="AK24" s="101">
        <f t="shared" si="12"/>
        <v>0</v>
      </c>
      <c r="AL24" s="193">
        <f>+IF(ISNUMBER(VLOOKUP($B24,'Cental Budget - hwy'!$B$16:$AQ$90,AL$1,FALSE)),VLOOKUP($B24,'Cental Budget - hwy'!$B$16:$AQ$90,AL$1,FALSE),0)+IF(ISNUMBER(VLOOKUP($B24,#REF!,AL$1,FALSE)),VLOOKUP($B24,#REF!,AL$1,FALSE),0)</f>
        <v>0</v>
      </c>
      <c r="AM24" s="101">
        <f t="shared" si="13"/>
        <v>0</v>
      </c>
      <c r="AO24" s="105"/>
      <c r="AP24" s="106"/>
      <c r="AQ24" s="106"/>
      <c r="AR24" s="106"/>
      <c r="AS24" s="106"/>
      <c r="AT24" s="107"/>
      <c r="AU24" s="81"/>
      <c r="AV24" s="81"/>
      <c r="AW24" s="81"/>
      <c r="AX24" s="81"/>
      <c r="AY24" s="81"/>
      <c r="AZ24" s="81"/>
      <c r="BA24" s="81"/>
      <c r="BB24" s="81"/>
      <c r="BC24" s="81"/>
      <c r="BD24" s="81"/>
      <c r="BE24" s="81"/>
      <c r="BF24" s="81"/>
      <c r="BG24" s="81"/>
      <c r="DS24" s="174"/>
      <c r="DT24" s="174"/>
      <c r="DU24" s="81"/>
    </row>
    <row r="25" spans="2:125" ht="15" customHeight="1">
      <c r="B25" s="80">
        <v>7118</v>
      </c>
      <c r="C25" s="99" t="str">
        <f>IF(MasterSheet!$A$1=1,MasterSheet!C80,MasterSheet!B80)</f>
        <v>Ostali republički prihodi</v>
      </c>
      <c r="D25" s="193">
        <f>+IF(ISNUMBER(VLOOKUP($B25,'Cental Budget - hwy'!$B$16:$AQ$90,D$1,FALSE)),VLOOKUP($B25,'Cental Budget - hwy'!$B$16:$AQ$90,D$1,FALSE),0)+IF(ISNUMBER(VLOOKUP($B25,#REF!,D$1,FALSE)),VLOOKUP($B25,#REF!,D$1,FALSE),0)</f>
        <v>4535766.87</v>
      </c>
      <c r="E25" s="101">
        <f t="shared" si="0"/>
        <v>0.21107389222392853</v>
      </c>
      <c r="F25" s="193">
        <f>+IF(ISNUMBER(VLOOKUP($B25,'Cental Budget - hwy'!$B$16:$AQ$90,F$1,FALSE)),VLOOKUP($B25,'Cental Budget - hwy'!$B$16:$AQ$90,F$1,FALSE),0)+IF(ISNUMBER(VLOOKUP($B25,#REF!,F$1,FALSE)),VLOOKUP($B25,#REF!,F$1,FALSE),0)</f>
        <v>6739308.9000000004</v>
      </c>
      <c r="G25" s="101">
        <f t="shared" si="1"/>
        <v>0.25141984331281481</v>
      </c>
      <c r="H25" s="193">
        <f>+IF(ISNUMBER(VLOOKUP($B25,'Cental Budget - hwy'!$B$16:$AQ$90,H$1,FALSE)),VLOOKUP($B25,'Cental Budget - hwy'!$B$16:$AQ$90,H$1,FALSE),0)+IF(ISNUMBER(VLOOKUP($B25,#REF!,H$1,FALSE)),VLOOKUP($B25,#REF!,H$1,FALSE),0)</f>
        <v>8529592.9000000004</v>
      </c>
      <c r="I25" s="101">
        <f t="shared" si="2"/>
        <v>0.27643223036038372</v>
      </c>
      <c r="J25" s="193">
        <f>+IF(ISNUMBER(VLOOKUP($B25,'Cental Budget - hwy'!$B$16:$AQ$90,J$1,FALSE)),VLOOKUP($B25,'Cental Budget - hwy'!$B$16:$AQ$90,J$1,FALSE),0)+IF(ISNUMBER(VLOOKUP($B25,#REF!,J$1,FALSE)),VLOOKUP($B25,#REF!,J$1,FALSE),0)</f>
        <v>8920855.8499999996</v>
      </c>
      <c r="K25" s="101">
        <f t="shared" si="3"/>
        <v>0.29925715699429722</v>
      </c>
      <c r="L25" s="193">
        <f>+IF(ISNUMBER(VLOOKUP($B25,'Cental Budget - hwy'!$B$16:$AQ$90,L$1,FALSE)),VLOOKUP($B25,'Cental Budget - hwy'!$B$16:$AQ$90,L$1,FALSE),0)+IF(ISNUMBER(VLOOKUP($B25,#REF!,L$1,FALSE)),VLOOKUP($B25,#REF!,L$1,FALSE),0)</f>
        <v>11587063.199999999</v>
      </c>
      <c r="M25" s="101">
        <f t="shared" si="4"/>
        <v>0.37329456185567006</v>
      </c>
      <c r="N25" s="193">
        <f>+IF(ISNUMBER(VLOOKUP($B25,'Cental Budget - hwy'!$B$16:$AQ$90,N$1,FALSE)),VLOOKUP($B25,'Cental Budget - hwy'!$B$16:$AQ$90,N$1,FALSE),0)+IF(ISNUMBER(VLOOKUP($B25,#REF!,N$1,FALSE)),VLOOKUP($B25,#REF!,N$1,FALSE),0)</f>
        <v>4148584.0999999996</v>
      </c>
      <c r="O25" s="101">
        <f t="shared" si="5"/>
        <v>0.12828027520098947</v>
      </c>
      <c r="P25" s="193">
        <f>+IF(ISNUMBER(VLOOKUP($B25,'Cental Budget - hwy'!$B$16:$AQ$90,P$1,FALSE)),VLOOKUP($B25,'Cental Budget - hwy'!$B$16:$AQ$90,P$1,FALSE),0)+IF(ISNUMBER(VLOOKUP($B25,#REF!,P$1,FALSE)),VLOOKUP($B25,#REF!,P$1,FALSE),0)</f>
        <v>4279140.05</v>
      </c>
      <c r="Q25" s="101">
        <f t="shared" si="6"/>
        <v>0.13588885519212449</v>
      </c>
      <c r="R25" s="193">
        <f>+IF(ISNUMBER(VLOOKUP($B25,'Cental Budget - hwy'!$B$16:$AQ$90,R$1,FALSE)),VLOOKUP($B25,'Cental Budget - hwy'!$B$16:$AQ$90,R$1,FALSE),0)+IF(ISNUMBER(VLOOKUP($B25,#REF!,R$1,FALSE)),VLOOKUP($B25,#REF!,R$1,FALSE),0)</f>
        <v>5088811.75</v>
      </c>
      <c r="S25" s="101">
        <f t="shared" si="7"/>
        <v>0.15254714326267749</v>
      </c>
      <c r="T25" s="193">
        <f>+IF(ISNUMBER(VLOOKUP($B25,'Cental Budget - hwy'!$B$16:$AQ$90,T$1,FALSE)),VLOOKUP($B25,'Cental Budget - hwy'!$B$16:$AQ$90,T$1,FALSE),0)+IF(ISNUMBER(VLOOKUP($B25,#REF!,T$1,FALSE)),VLOOKUP($B25,#REF!,T$1,FALSE),0)</f>
        <v>5084095.7895035082</v>
      </c>
      <c r="U25" s="101">
        <f t="shared" si="8"/>
        <v>0.14459240439449103</v>
      </c>
      <c r="V25" s="192">
        <f>+IF(ISNUMBER(VLOOKUP($B25,'Cental Budget - hwy'!$B$16:$AQ$90,V$1,FALSE)),VLOOKUP($B25,'Cental Budget - hwy'!$B$16:$AQ$90,V$1,FALSE),0)+IF(ISNUMBER(VLOOKUP($B25,#REF!,V$1,FALSE)),VLOOKUP($B25,#REF!,V$1,FALSE),0)</f>
        <v>0</v>
      </c>
      <c r="W25" s="192">
        <f>+IF(ISNUMBER(VLOOKUP($B25,'Cental Budget - hwy'!$B$16:$AQ$90,W$1,FALSE)),VLOOKUP($B25,'Cental Budget - hwy'!$B$16:$AQ$90,W$1,FALSE),0)+IF(ISNUMBER(VLOOKUP($B25,#REF!,W$1,FALSE)),VLOOKUP($B25,#REF!,W$1,FALSE),0)</f>
        <v>0</v>
      </c>
      <c r="X25" s="193">
        <f>+IF(ISNUMBER(VLOOKUP($B25,'Cental Budget - hwy'!$B$16:$AQ$90,X$1,FALSE)),VLOOKUP($B25,'Cental Budget - hwy'!$B$16:$AQ$90,X$1,FALSE),0)+IF(ISNUMBER(VLOOKUP($B25,#REF!,X$1,FALSE)),VLOOKUP($B25,#REF!,X$1,FALSE),0)</f>
        <v>0</v>
      </c>
      <c r="Y25" s="101">
        <f t="shared" si="9"/>
        <v>0</v>
      </c>
      <c r="Z25" s="193">
        <f>+IF(ISNUMBER(VLOOKUP($B25,'Cental Budget - hwy'!$B$16:$AQ$90,Z$1,FALSE)),VLOOKUP($B25,'Cental Budget - hwy'!$B$16:$AQ$90,Z$1,FALSE),0)+IF(ISNUMBER(VLOOKUP($B25,#REF!,Z$1,FALSE)),VLOOKUP($B25,#REF!,Z$1,FALSE),0)</f>
        <v>0</v>
      </c>
      <c r="AA25" s="101">
        <f t="shared" si="10"/>
        <v>0</v>
      </c>
      <c r="AB25" s="193">
        <f>+IF(ISNUMBER(VLOOKUP($B25,'Cental Budget - hwy'!$B$16:$AQ$90,AB$1,FALSE)),VLOOKUP($B25,'Cental Budget - hwy'!$B$16:$AQ$90,AB$1,FALSE),0)+IF(ISNUMBER(VLOOKUP($B25,#REF!,AB$1,FALSE)),VLOOKUP($B25,#REF!,AB$1,FALSE),0)</f>
        <v>0</v>
      </c>
      <c r="AC25" s="101">
        <f>+IF(ISNUMBER(VLOOKUP($B25,'Cental Budget - hwy'!$B$16:$AQ$90,AC$1,FALSE)),VLOOKUP($B25,'Cental Budget - hwy'!$B$16:$AQ$90,AC$1,FALSE),0)+IF(ISNUMBER(VLOOKUP($B25,#REF!,AC$1,FALSE)),VLOOKUP($B25,#REF!,AC$1,FALSE),0)</f>
        <v>0</v>
      </c>
      <c r="AD25" s="194">
        <f>+IF(ISNUMBER(VLOOKUP($B25,'Cental Budget - hwy'!$B$16:$AQ$90,AD$1,FALSE)),VLOOKUP($B25,'Cental Budget - hwy'!$B$16:$AQ$90,AD$1,FALSE),0)+IF(ISNUMBER(VLOOKUP($B25,#REF!,AD$1,FALSE)),VLOOKUP($B25,#REF!,AD$1,FALSE),0)</f>
        <v>0</v>
      </c>
      <c r="AE25" s="193">
        <f>+IF(ISNUMBER(VLOOKUP($B25,'Cental Budget - hwy'!$B$16:$AQ$90,AE$1,FALSE)),VLOOKUP($B25,'Cental Budget - hwy'!$B$16:$AQ$90,AE$1,FALSE),0)+IF(ISNUMBER(VLOOKUP($B25,#REF!,AE$1,FALSE)),VLOOKUP($B25,#REF!,AE$1,FALSE),0)</f>
        <v>0</v>
      </c>
      <c r="AF25" s="101">
        <f t="shared" si="11"/>
        <v>0</v>
      </c>
      <c r="AG25" s="193">
        <f>+IF(ISNUMBER(VLOOKUP($B25,'Cental Budget - hwy'!$B$16:$AQ$90,AG$1,FALSE)),VLOOKUP($B25,'Cental Budget - hwy'!$B$16:$AQ$90,AG$1,FALSE),0)+IF(ISNUMBER(VLOOKUP($B25,#REF!,AG$1,FALSE)),VLOOKUP($B25,#REF!,AG$1,FALSE),0)</f>
        <v>0</v>
      </c>
      <c r="AH25" s="101">
        <f>+IF(ISNUMBER(VLOOKUP($B25,'Cental Budget - hwy'!$B$16:$AQ$90,AH$1,FALSE)),VLOOKUP($B25,'Cental Budget - hwy'!$B$16:$AQ$90,AH$1,FALSE),0)+IF(ISNUMBER(VLOOKUP($B25,#REF!,AH$1,FALSE)),VLOOKUP($B25,#REF!,AH$1,FALSE),0)</f>
        <v>0</v>
      </c>
      <c r="AI25" s="194">
        <f>+IF(ISNUMBER(VLOOKUP($B25,'Cental Budget - hwy'!$B$16:$AQ$90,AI$1,FALSE)),VLOOKUP($B25,'Cental Budget - hwy'!$B$16:$AQ$90,AI$1,FALSE),0)+IF(ISNUMBER(VLOOKUP($B25,#REF!,AI$1,FALSE)),VLOOKUP($B25,#REF!,AI$1,FALSE),0)</f>
        <v>0</v>
      </c>
      <c r="AJ25" s="193">
        <f>+IF(ISNUMBER(VLOOKUP($B25,'Cental Budget - hwy'!$B$16:$AQ$90,AJ$1,FALSE)),VLOOKUP($B25,'Cental Budget - hwy'!$B$16:$AQ$90,AJ$1,FALSE),0)+IF(ISNUMBER(VLOOKUP($B25,#REF!,AJ$1,FALSE)),VLOOKUP($B25,#REF!,AJ$1,FALSE),0)</f>
        <v>0</v>
      </c>
      <c r="AK25" s="101">
        <f t="shared" si="12"/>
        <v>0</v>
      </c>
      <c r="AL25" s="193">
        <f>+IF(ISNUMBER(VLOOKUP($B25,'Cental Budget - hwy'!$B$16:$AQ$90,AL$1,FALSE)),VLOOKUP($B25,'Cental Budget - hwy'!$B$16:$AQ$90,AL$1,FALSE),0)+IF(ISNUMBER(VLOOKUP($B25,#REF!,AL$1,FALSE)),VLOOKUP($B25,#REF!,AL$1,FALSE),0)</f>
        <v>0</v>
      </c>
      <c r="AM25" s="101">
        <f t="shared" si="13"/>
        <v>0</v>
      </c>
      <c r="AO25" s="105"/>
      <c r="AP25" s="106"/>
      <c r="AQ25" s="106"/>
      <c r="AR25" s="106"/>
      <c r="AS25" s="106"/>
      <c r="AT25" s="107"/>
      <c r="AU25" s="81"/>
      <c r="AV25" s="81"/>
      <c r="AW25" s="81"/>
      <c r="AX25" s="81"/>
      <c r="AY25" s="81"/>
      <c r="AZ25" s="81"/>
      <c r="BA25" s="81"/>
      <c r="BB25" s="81"/>
      <c r="BC25" s="81"/>
      <c r="BD25" s="81"/>
      <c r="BE25" s="81"/>
      <c r="BF25" s="81"/>
      <c r="BG25" s="81"/>
      <c r="DS25" s="174"/>
      <c r="DT25" s="174"/>
      <c r="DU25" s="81"/>
    </row>
    <row r="26" spans="2:125" ht="15" customHeight="1">
      <c r="B26" s="80">
        <v>712</v>
      </c>
      <c r="C26" s="94" t="str">
        <f>IF(MasterSheet!$A$1=1,MasterSheet!C81,MasterSheet!B81)</f>
        <v>Doprinosi</v>
      </c>
      <c r="D26" s="189">
        <f>SUM(D27:D30)</f>
        <v>255157132.13</v>
      </c>
      <c r="E26" s="98">
        <f t="shared" si="0"/>
        <v>11.873848579738471</v>
      </c>
      <c r="F26" s="189">
        <f>SUM(F27:F30)</f>
        <v>306787808.32999998</v>
      </c>
      <c r="G26" s="98">
        <f t="shared" si="1"/>
        <v>11.445170987875395</v>
      </c>
      <c r="H26" s="189">
        <f>SUM(H27:H30)</f>
        <v>339912631.83999997</v>
      </c>
      <c r="I26" s="98">
        <f t="shared" si="2"/>
        <v>11.016095146486906</v>
      </c>
      <c r="J26" s="189">
        <f>SUM(J27:J30)</f>
        <v>307544352.32999998</v>
      </c>
      <c r="K26" s="98">
        <f t="shared" si="3"/>
        <v>10.316818259979872</v>
      </c>
      <c r="L26" s="189">
        <f>SUM(L27:L30)</f>
        <v>379756996.48000008</v>
      </c>
      <c r="M26" s="98">
        <f t="shared" si="4"/>
        <v>12.234439319587631</v>
      </c>
      <c r="N26" s="189">
        <f>SUM(N27:N30)</f>
        <v>353577453.33000004</v>
      </c>
      <c r="O26" s="98">
        <f t="shared" si="5"/>
        <v>10.933130900742116</v>
      </c>
      <c r="P26" s="189">
        <f>SUM(P27:P30)</f>
        <v>362250409.59999996</v>
      </c>
      <c r="Q26" s="98">
        <f t="shared" si="6"/>
        <v>11.503664960304857</v>
      </c>
      <c r="R26" s="189">
        <f>SUM(R27:R30)</f>
        <v>398494284.19</v>
      </c>
      <c r="S26" s="98">
        <f t="shared" si="7"/>
        <v>11.94565011364196</v>
      </c>
      <c r="T26" s="189">
        <f>SUM(T27:T30)</f>
        <v>397823173.70918262</v>
      </c>
      <c r="U26" s="98">
        <f t="shared" si="8"/>
        <v>11.314147410286179</v>
      </c>
      <c r="V26" s="96"/>
      <c r="W26" s="96"/>
      <c r="X26" s="189">
        <f>SUM(X27:X30)</f>
        <v>0</v>
      </c>
      <c r="Y26" s="98">
        <f t="shared" si="9"/>
        <v>0</v>
      </c>
      <c r="Z26" s="189">
        <f>SUM(Z27:Z30)</f>
        <v>0</v>
      </c>
      <c r="AA26" s="98">
        <f t="shared" si="10"/>
        <v>0</v>
      </c>
      <c r="AB26" s="189">
        <f>SUM(AB27:AB30)</f>
        <v>0</v>
      </c>
      <c r="AC26" s="98">
        <f>AB26/AB$11*100</f>
        <v>0</v>
      </c>
      <c r="AD26" s="190"/>
      <c r="AE26" s="189">
        <f>SUM(AE27:AE30)</f>
        <v>0</v>
      </c>
      <c r="AF26" s="98">
        <f t="shared" si="11"/>
        <v>0</v>
      </c>
      <c r="AG26" s="189">
        <f>SUM(AG27:AG30)</f>
        <v>0</v>
      </c>
      <c r="AH26" s="98">
        <f>AG26/AG$11*100</f>
        <v>0</v>
      </c>
      <c r="AI26" s="190"/>
      <c r="AJ26" s="189">
        <f>SUM(AJ27:AJ30)</f>
        <v>0</v>
      </c>
      <c r="AK26" s="98">
        <f t="shared" si="12"/>
        <v>0</v>
      </c>
      <c r="AL26" s="189">
        <f>SUM(AL27:AL30)</f>
        <v>0</v>
      </c>
      <c r="AM26" s="98">
        <f t="shared" si="13"/>
        <v>0</v>
      </c>
      <c r="AO26" s="105"/>
      <c r="AP26" s="106"/>
      <c r="AQ26" s="106"/>
      <c r="AR26" s="106"/>
      <c r="AS26" s="106"/>
      <c r="AT26" s="107"/>
      <c r="AU26" s="81"/>
      <c r="AV26" s="81"/>
      <c r="AW26" s="81"/>
      <c r="AX26" s="81"/>
      <c r="AY26" s="81"/>
      <c r="AZ26" s="81"/>
      <c r="BA26" s="81"/>
      <c r="BB26" s="81"/>
      <c r="BC26" s="81"/>
      <c r="BD26" s="81"/>
      <c r="BE26" s="81"/>
      <c r="BF26" s="81"/>
      <c r="BG26" s="81"/>
      <c r="DS26" s="174"/>
      <c r="DT26" s="174"/>
      <c r="DU26" s="81"/>
    </row>
    <row r="27" spans="2:125" ht="15" customHeight="1">
      <c r="B27" s="80">
        <v>7121</v>
      </c>
      <c r="C27" s="99" t="str">
        <f>IF(MasterSheet!$A$1=1,MasterSheet!C82,MasterSheet!B82)</f>
        <v>Doprinosi za penzijsko i invalidsko osiguranje</v>
      </c>
      <c r="D27" s="193">
        <f>+IF(ISNUMBER(VLOOKUP($B27,'Cental Budget - hwy'!$B$16:$AQ$90,D$1,FALSE)),VLOOKUP($B27,'Cental Budget - hwy'!$B$16:$AQ$90,D$1,FALSE),0)+IF(ISNUMBER(VLOOKUP($B27,#REF!,D$1,FALSE)),VLOOKUP($B27,#REF!,D$1,FALSE),0)</f>
        <v>138179769.16</v>
      </c>
      <c r="E27" s="101">
        <f t="shared" si="0"/>
        <v>6.4302559058122766</v>
      </c>
      <c r="F27" s="193">
        <f>+IF(ISNUMBER(VLOOKUP($B27,'Cental Budget - hwy'!$B$16:$AQ$90,F$1,FALSE)),VLOOKUP($B27,'Cental Budget - hwy'!$B$16:$AQ$90,F$1,FALSE),0)+IF(ISNUMBER(VLOOKUP($B27,#REF!,F$1,FALSE)),VLOOKUP($B27,#REF!,F$1,FALSE),0)</f>
        <v>173517241.65000001</v>
      </c>
      <c r="G27" s="101">
        <f t="shared" si="1"/>
        <v>6.473316233911584</v>
      </c>
      <c r="H27" s="193">
        <f>+IF(ISNUMBER(VLOOKUP($B27,'Cental Budget - hwy'!$B$16:$AQ$90,H$1,FALSE)),VLOOKUP($B27,'Cental Budget - hwy'!$B$16:$AQ$90,H$1,FALSE),0)+IF(ISNUMBER(VLOOKUP($B27,#REF!,H$1,FALSE)),VLOOKUP($B27,#REF!,H$1,FALSE),0)</f>
        <v>213850904.31999999</v>
      </c>
      <c r="I27" s="101">
        <f t="shared" si="2"/>
        <v>6.9306100700025919</v>
      </c>
      <c r="J27" s="193">
        <f>+IF(ISNUMBER(VLOOKUP($B27,'Cental Budget - hwy'!$B$16:$AQ$90,J$1,FALSE)),VLOOKUP($B27,'Cental Budget - hwy'!$B$16:$AQ$90,J$1,FALSE),0)+IF(ISNUMBER(VLOOKUP($B27,#REF!,J$1,FALSE)),VLOOKUP($B27,#REF!,J$1,FALSE),0)</f>
        <v>199510659.24000001</v>
      </c>
      <c r="K27" s="101">
        <f t="shared" si="3"/>
        <v>6.6927426782958737</v>
      </c>
      <c r="L27" s="193">
        <f>+IF(ISNUMBER(VLOOKUP($B27,'Cental Budget - hwy'!$B$16:$AQ$90,L$1,FALSE)),VLOOKUP($B27,'Cental Budget - hwy'!$B$16:$AQ$90,L$1,FALSE),0)+IF(ISNUMBER(VLOOKUP($B27,#REF!,L$1,FALSE)),VLOOKUP($B27,#REF!,L$1,FALSE),0)</f>
        <v>233496116.37</v>
      </c>
      <c r="M27" s="101">
        <f t="shared" si="4"/>
        <v>7.5224264294458765</v>
      </c>
      <c r="N27" s="193">
        <f>+IF(ISNUMBER(VLOOKUP($B27,'Cental Budget - hwy'!$B$16:$AQ$90,N$1,FALSE)),VLOOKUP($B27,'Cental Budget - hwy'!$B$16:$AQ$90,N$1,FALSE),0)+IF(ISNUMBER(VLOOKUP($B27,#REF!,N$1,FALSE)),VLOOKUP($B27,#REF!,N$1,FALSE),0)</f>
        <v>213452220.68000001</v>
      </c>
      <c r="O27" s="101">
        <f t="shared" si="5"/>
        <v>6.6002541954236245</v>
      </c>
      <c r="P27" s="193">
        <f>+IF(ISNUMBER(VLOOKUP($B27,'Cental Budget - hwy'!$B$16:$AQ$90,P$1,FALSE)),VLOOKUP($B27,'Cental Budget - hwy'!$B$16:$AQ$90,P$1,FALSE),0)+IF(ISNUMBER(VLOOKUP($B27,#REF!,P$1,FALSE)),VLOOKUP($B27,#REF!,P$1,FALSE),0)</f>
        <v>216501675.27000001</v>
      </c>
      <c r="Q27" s="101">
        <f t="shared" si="6"/>
        <v>6.8752516757700857</v>
      </c>
      <c r="R27" s="193">
        <f>+IF(ISNUMBER(VLOOKUP($B27,'Cental Budget - hwy'!$B$16:$AQ$90,R$1,FALSE)),VLOOKUP($B27,'Cental Budget - hwy'!$B$16:$AQ$90,R$1,FALSE),0)+IF(ISNUMBER(VLOOKUP($B27,#REF!,R$1,FALSE)),VLOOKUP($B27,#REF!,R$1,FALSE),0)</f>
        <v>241949355.72999999</v>
      </c>
      <c r="S27" s="101">
        <f t="shared" si="7"/>
        <v>7.2529079172277937</v>
      </c>
      <c r="T27" s="193">
        <f>+IF(ISNUMBER(VLOOKUP($B27,'Cental Budget - hwy'!$B$16:$AQ$90,T$1,FALSE)),VLOOKUP($B27,'Cental Budget - hwy'!$B$16:$AQ$90,T$1,FALSE),0)+IF(ISNUMBER(VLOOKUP($B27,#REF!,T$1,FALSE)),VLOOKUP($B27,#REF!,T$1,FALSE),0)</f>
        <v>234882396.70208701</v>
      </c>
      <c r="U27" s="101">
        <f t="shared" si="8"/>
        <v>6.6800886323213922</v>
      </c>
      <c r="V27" s="192">
        <f>+IF(ISNUMBER(VLOOKUP($B27,'Cental Budget - hwy'!$B$16:$AQ$90,V$1,FALSE)),VLOOKUP($B27,'Cental Budget - hwy'!$B$16:$AQ$90,V$1,FALSE),0)+IF(ISNUMBER(VLOOKUP($B27,#REF!,V$1,FALSE)),VLOOKUP($B27,#REF!,V$1,FALSE),0)</f>
        <v>10000000</v>
      </c>
      <c r="W27" s="192">
        <f>+IF(ISNUMBER(VLOOKUP($B27,'Cental Budget - hwy'!$B$16:$AQ$90,W$1,FALSE)),VLOOKUP($B27,'Cental Budget - hwy'!$B$16:$AQ$90,W$1,FALSE),0)+IF(ISNUMBER(VLOOKUP($B27,#REF!,W$1,FALSE)),VLOOKUP($B27,#REF!,W$1,FALSE),0)</f>
        <v>2361676.37</v>
      </c>
      <c r="X27" s="193">
        <f>+IF(ISNUMBER(VLOOKUP($B27,'Cental Budget - hwy'!$B$16:$AQ$90,X$1,FALSE)),VLOOKUP($B27,'Cental Budget - hwy'!$B$16:$AQ$90,X$1,FALSE),0)+IF(ISNUMBER(VLOOKUP($B27,#REF!,X$1,FALSE)),VLOOKUP($B27,#REF!,X$1,FALSE),0)</f>
        <v>0</v>
      </c>
      <c r="Y27" s="101">
        <f t="shared" si="9"/>
        <v>0</v>
      </c>
      <c r="Z27" s="193">
        <f>+IF(ISNUMBER(VLOOKUP($B27,'Cental Budget - hwy'!$B$16:$AQ$90,Z$1,FALSE)),VLOOKUP($B27,'Cental Budget - hwy'!$B$16:$AQ$90,Z$1,FALSE),0)+IF(ISNUMBER(VLOOKUP($B27,#REF!,Z$1,FALSE)),VLOOKUP($B27,#REF!,Z$1,FALSE),0)</f>
        <v>0</v>
      </c>
      <c r="AA27" s="101">
        <f t="shared" si="10"/>
        <v>0</v>
      </c>
      <c r="AB27" s="193">
        <f>+IF(ISNUMBER(VLOOKUP($B27,'Cental Budget - hwy'!$B$16:$AQ$90,AB$1,FALSE)),VLOOKUP($B27,'Cental Budget - hwy'!$B$16:$AQ$90,AB$1,FALSE),0)+IF(ISNUMBER(VLOOKUP($B27,#REF!,AB$1,FALSE)),VLOOKUP($B27,#REF!,AB$1,FALSE),0)</f>
        <v>0</v>
      </c>
      <c r="AC27" s="101">
        <f>+IF(ISNUMBER(VLOOKUP($B27,'Cental Budget - hwy'!$B$16:$AQ$90,AC$1,FALSE)),VLOOKUP($B27,'Cental Budget - hwy'!$B$16:$AQ$90,AC$1,FALSE),0)+IF(ISNUMBER(VLOOKUP($B27,#REF!,AC$1,FALSE)),VLOOKUP($B27,#REF!,AC$1,FALSE),0)</f>
        <v>0</v>
      </c>
      <c r="AD27" s="194">
        <f>+IF(ISNUMBER(VLOOKUP($B27,'Cental Budget - hwy'!$B$16:$AQ$90,AD$1,FALSE)),VLOOKUP($B27,'Cental Budget - hwy'!$B$16:$AQ$90,AD$1,FALSE),0)+IF(ISNUMBER(VLOOKUP($B27,#REF!,AD$1,FALSE)),VLOOKUP($B27,#REF!,AD$1,FALSE),0)</f>
        <v>0</v>
      </c>
      <c r="AE27" s="193">
        <f>+IF(ISNUMBER(VLOOKUP($B27,'Cental Budget - hwy'!$B$16:$AQ$90,AE$1,FALSE)),VLOOKUP($B27,'Cental Budget - hwy'!$B$16:$AQ$90,AE$1,FALSE),0)+IF(ISNUMBER(VLOOKUP($B27,#REF!,AE$1,FALSE)),VLOOKUP($B27,#REF!,AE$1,FALSE),0)</f>
        <v>0</v>
      </c>
      <c r="AF27" s="101">
        <f t="shared" si="11"/>
        <v>0</v>
      </c>
      <c r="AG27" s="193">
        <f>+IF(ISNUMBER(VLOOKUP($B27,'Cental Budget - hwy'!$B$16:$AQ$90,AG$1,FALSE)),VLOOKUP($B27,'Cental Budget - hwy'!$B$16:$AQ$90,AG$1,FALSE),0)+IF(ISNUMBER(VLOOKUP($B27,#REF!,AG$1,FALSE)),VLOOKUP($B27,#REF!,AG$1,FALSE),0)</f>
        <v>0</v>
      </c>
      <c r="AH27" s="101">
        <f>+IF(ISNUMBER(VLOOKUP($B27,'Cental Budget - hwy'!$B$16:$AQ$90,AH$1,FALSE)),VLOOKUP($B27,'Cental Budget - hwy'!$B$16:$AQ$90,AH$1,FALSE),0)+IF(ISNUMBER(VLOOKUP($B27,#REF!,AH$1,FALSE)),VLOOKUP($B27,#REF!,AH$1,FALSE),0)</f>
        <v>0</v>
      </c>
      <c r="AI27" s="194">
        <f>+IF(ISNUMBER(VLOOKUP($B27,'Cental Budget - hwy'!$B$16:$AQ$90,AI$1,FALSE)),VLOOKUP($B27,'Cental Budget - hwy'!$B$16:$AQ$90,AI$1,FALSE),0)+IF(ISNUMBER(VLOOKUP($B27,#REF!,AI$1,FALSE)),VLOOKUP($B27,#REF!,AI$1,FALSE),0)</f>
        <v>0</v>
      </c>
      <c r="AJ27" s="193">
        <f>+IF(ISNUMBER(VLOOKUP($B27,'Cental Budget - hwy'!$B$16:$AQ$90,AJ$1,FALSE)),VLOOKUP($B27,'Cental Budget - hwy'!$B$16:$AQ$90,AJ$1,FALSE),0)+IF(ISNUMBER(VLOOKUP($B27,#REF!,AJ$1,FALSE)),VLOOKUP($B27,#REF!,AJ$1,FALSE),0)</f>
        <v>0</v>
      </c>
      <c r="AK27" s="101">
        <f t="shared" si="12"/>
        <v>0</v>
      </c>
      <c r="AL27" s="193">
        <f>+IF(ISNUMBER(VLOOKUP($B27,'Cental Budget - hwy'!$B$16:$AQ$90,AL$1,FALSE)),VLOOKUP($B27,'Cental Budget - hwy'!$B$16:$AQ$90,AL$1,FALSE),0)+IF(ISNUMBER(VLOOKUP($B27,#REF!,AL$1,FALSE)),VLOOKUP($B27,#REF!,AL$1,FALSE),0)</f>
        <v>0</v>
      </c>
      <c r="AM27" s="101">
        <f t="shared" si="13"/>
        <v>0</v>
      </c>
      <c r="AO27" s="105"/>
      <c r="AP27" s="106"/>
      <c r="AQ27" s="106"/>
      <c r="AR27" s="106"/>
      <c r="AS27" s="106"/>
      <c r="AT27" s="107"/>
      <c r="AU27" s="81"/>
      <c r="AV27" s="81"/>
      <c r="AW27" s="81"/>
      <c r="AX27" s="81"/>
      <c r="AY27" s="81"/>
      <c r="AZ27" s="81"/>
      <c r="BA27" s="81"/>
      <c r="BB27" s="81"/>
      <c r="BC27" s="81"/>
      <c r="BD27" s="81"/>
      <c r="BE27" s="81"/>
      <c r="BF27" s="81"/>
      <c r="BG27" s="81"/>
      <c r="DS27" s="174"/>
      <c r="DT27" s="174"/>
      <c r="DU27" s="81"/>
    </row>
    <row r="28" spans="2:125" ht="15" customHeight="1">
      <c r="B28" s="80">
        <v>7122</v>
      </c>
      <c r="C28" s="99" t="str">
        <f>IF(MasterSheet!$A$1=1,MasterSheet!C83,MasterSheet!B83)</f>
        <v>Doprinosi za zdravstveno osiguranje</v>
      </c>
      <c r="D28" s="193">
        <f>+IF(ISNUMBER(VLOOKUP($B28,'Cental Budget - hwy'!$B$16:$AQ$90,D$1,FALSE)),VLOOKUP($B28,'Cental Budget - hwy'!$B$16:$AQ$90,D$1,FALSE),0)+IF(ISNUMBER(VLOOKUP($B28,#REF!,D$1,FALSE)),VLOOKUP($B28,#REF!,D$1,FALSE),0)</f>
        <v>110592983</v>
      </c>
      <c r="E28" s="101">
        <f t="shared" si="0"/>
        <v>5.1464927637395883</v>
      </c>
      <c r="F28" s="193">
        <f>+IF(ISNUMBER(VLOOKUP($B28,'Cental Budget - hwy'!$B$16:$AQ$90,F$1,FALSE)),VLOOKUP($B28,'Cental Budget - hwy'!$B$16:$AQ$90,F$1,FALSE),0)+IF(ISNUMBER(VLOOKUP($B28,#REF!,F$1,FALSE)),VLOOKUP($B28,#REF!,F$1,FALSE),0)</f>
        <v>125446267</v>
      </c>
      <c r="G28" s="101">
        <f t="shared" si="1"/>
        <v>4.6799577317664616</v>
      </c>
      <c r="H28" s="193">
        <f>+IF(ISNUMBER(VLOOKUP($B28,'Cental Budget - hwy'!$B$16:$AQ$90,H$1,FALSE)),VLOOKUP($B28,'Cental Budget - hwy'!$B$16:$AQ$90,H$1,FALSE),0)+IF(ISNUMBER(VLOOKUP($B28,#REF!,H$1,FALSE)),VLOOKUP($B28,#REF!,H$1,FALSE),0)</f>
        <v>115860488.59999999</v>
      </c>
      <c r="I28" s="101">
        <f t="shared" si="2"/>
        <v>3.7548771260046667</v>
      </c>
      <c r="J28" s="193">
        <f>+IF(ISNUMBER(VLOOKUP($B28,'Cental Budget - hwy'!$B$16:$AQ$90,J$1,FALSE)),VLOOKUP($B28,'Cental Budget - hwy'!$B$16:$AQ$90,J$1,FALSE),0)+IF(ISNUMBER(VLOOKUP($B28,#REF!,J$1,FALSE)),VLOOKUP($B28,#REF!,J$1,FALSE),0)</f>
        <v>97587762.519999996</v>
      </c>
      <c r="K28" s="101">
        <f t="shared" si="3"/>
        <v>3.2736585883931566</v>
      </c>
      <c r="L28" s="193">
        <f>+IF(ISNUMBER(VLOOKUP($B28,'Cental Budget - hwy'!$B$16:$AQ$90,L$1,FALSE)),VLOOKUP($B28,'Cental Budget - hwy'!$B$16:$AQ$90,L$1,FALSE),0)+IF(ISNUMBER(VLOOKUP($B28,#REF!,L$1,FALSE)),VLOOKUP($B28,#REF!,L$1,FALSE),0)</f>
        <v>129895634.22</v>
      </c>
      <c r="M28" s="101">
        <f t="shared" si="4"/>
        <v>4.1847820302835048</v>
      </c>
      <c r="N28" s="193">
        <f>+IF(ISNUMBER(VLOOKUP($B28,'Cental Budget - hwy'!$B$16:$AQ$90,N$1,FALSE)),VLOOKUP($B28,'Cental Budget - hwy'!$B$16:$AQ$90,N$1,FALSE),0)+IF(ISNUMBER(VLOOKUP($B28,#REF!,N$1,FALSE)),VLOOKUP($B28,#REF!,N$1,FALSE),0)</f>
        <v>120890439.24000001</v>
      </c>
      <c r="O28" s="101">
        <f t="shared" si="5"/>
        <v>3.7381088200371062</v>
      </c>
      <c r="P28" s="193">
        <f>+IF(ISNUMBER(VLOOKUP($B28,'Cental Budget - hwy'!$B$16:$AQ$90,P$1,FALSE)),VLOOKUP($B28,'Cental Budget - hwy'!$B$16:$AQ$90,P$1,FALSE),0)+IF(ISNUMBER(VLOOKUP($B28,#REF!,P$1,FALSE)),VLOOKUP($B28,#REF!,P$1,FALSE),0)</f>
        <v>125738855</v>
      </c>
      <c r="Q28" s="101">
        <f t="shared" si="6"/>
        <v>3.9929772943791679</v>
      </c>
      <c r="R28" s="193">
        <f>+IF(ISNUMBER(VLOOKUP($B28,'Cental Budget - hwy'!$B$16:$AQ$90,R$1,FALSE)),VLOOKUP($B28,'Cental Budget - hwy'!$B$16:$AQ$90,R$1,FALSE),0)+IF(ISNUMBER(VLOOKUP($B28,#REF!,R$1,FALSE)),VLOOKUP($B28,#REF!,R$1,FALSE),0)</f>
        <v>134703897.09</v>
      </c>
      <c r="S28" s="101">
        <f t="shared" si="7"/>
        <v>4.038014313936686</v>
      </c>
      <c r="T28" s="193">
        <f>+IF(ISNUMBER(VLOOKUP($B28,'Cental Budget - hwy'!$B$16:$AQ$90,T$1,FALSE)),VLOOKUP($B28,'Cental Budget - hwy'!$B$16:$AQ$90,T$1,FALSE),0)+IF(ISNUMBER(VLOOKUP($B28,#REF!,T$1,FALSE)),VLOOKUP($B28,#REF!,T$1,FALSE),0)</f>
        <v>138667298.82084399</v>
      </c>
      <c r="U28" s="101">
        <f t="shared" si="8"/>
        <v>3.9437176201106214</v>
      </c>
      <c r="V28" s="192">
        <f>+IF(ISNUMBER(VLOOKUP($B28,'Cental Budget - hwy'!$B$16:$AQ$90,V$1,FALSE)),VLOOKUP($B28,'Cental Budget - hwy'!$B$16:$AQ$90,V$1,FALSE),0)+IF(ISNUMBER(VLOOKUP($B28,#REF!,V$1,FALSE)),VLOOKUP($B28,#REF!,V$1,FALSE),0)</f>
        <v>1600000</v>
      </c>
      <c r="W28" s="192">
        <f>+IF(ISNUMBER(VLOOKUP($B28,'Cental Budget - hwy'!$B$16:$AQ$90,W$1,FALSE)),VLOOKUP($B28,'Cental Budget - hwy'!$B$16:$AQ$90,W$1,FALSE),0)+IF(ISNUMBER(VLOOKUP($B28,#REF!,W$1,FALSE)),VLOOKUP($B28,#REF!,W$1,FALSE),0)</f>
        <v>1394260.65</v>
      </c>
      <c r="X28" s="193">
        <f>+IF(ISNUMBER(VLOOKUP($B28,'Cental Budget - hwy'!$B$16:$AQ$90,X$1,FALSE)),VLOOKUP($B28,'Cental Budget - hwy'!$B$16:$AQ$90,X$1,FALSE),0)+IF(ISNUMBER(VLOOKUP($B28,#REF!,X$1,FALSE)),VLOOKUP($B28,#REF!,X$1,FALSE),0)</f>
        <v>0</v>
      </c>
      <c r="Y28" s="101">
        <f t="shared" si="9"/>
        <v>0</v>
      </c>
      <c r="Z28" s="193">
        <f>+IF(ISNUMBER(VLOOKUP($B28,'Cental Budget - hwy'!$B$16:$AQ$90,Z$1,FALSE)),VLOOKUP($B28,'Cental Budget - hwy'!$B$16:$AQ$90,Z$1,FALSE),0)+IF(ISNUMBER(VLOOKUP($B28,#REF!,Z$1,FALSE)),VLOOKUP($B28,#REF!,Z$1,FALSE),0)</f>
        <v>0</v>
      </c>
      <c r="AA28" s="101">
        <f t="shared" si="10"/>
        <v>0</v>
      </c>
      <c r="AB28" s="193">
        <f>+IF(ISNUMBER(VLOOKUP($B28,'Cental Budget - hwy'!$B$16:$AQ$90,AB$1,FALSE)),VLOOKUP($B28,'Cental Budget - hwy'!$B$16:$AQ$90,AB$1,FALSE),0)+IF(ISNUMBER(VLOOKUP($B28,#REF!,AB$1,FALSE)),VLOOKUP($B28,#REF!,AB$1,FALSE),0)</f>
        <v>0</v>
      </c>
      <c r="AC28" s="101">
        <f>+IF(ISNUMBER(VLOOKUP($B28,'Cental Budget - hwy'!$B$16:$AQ$90,AC$1,FALSE)),VLOOKUP($B28,'Cental Budget - hwy'!$B$16:$AQ$90,AC$1,FALSE),0)+IF(ISNUMBER(VLOOKUP($B28,#REF!,AC$1,FALSE)),VLOOKUP($B28,#REF!,AC$1,FALSE),0)</f>
        <v>0</v>
      </c>
      <c r="AD28" s="194">
        <f>+IF(ISNUMBER(VLOOKUP($B28,'Cental Budget - hwy'!$B$16:$AQ$90,AD$1,FALSE)),VLOOKUP($B28,'Cental Budget - hwy'!$B$16:$AQ$90,AD$1,FALSE),0)+IF(ISNUMBER(VLOOKUP($B28,#REF!,AD$1,FALSE)),VLOOKUP($B28,#REF!,AD$1,FALSE),0)</f>
        <v>0</v>
      </c>
      <c r="AE28" s="193">
        <f>+IF(ISNUMBER(VLOOKUP($B28,'Cental Budget - hwy'!$B$16:$AQ$90,AE$1,FALSE)),VLOOKUP($B28,'Cental Budget - hwy'!$B$16:$AQ$90,AE$1,FALSE),0)+IF(ISNUMBER(VLOOKUP($B28,#REF!,AE$1,FALSE)),VLOOKUP($B28,#REF!,AE$1,FALSE),0)</f>
        <v>0</v>
      </c>
      <c r="AF28" s="101">
        <f t="shared" si="11"/>
        <v>0</v>
      </c>
      <c r="AG28" s="193">
        <f>+IF(ISNUMBER(VLOOKUP($B28,'Cental Budget - hwy'!$B$16:$AQ$90,AG$1,FALSE)),VLOOKUP($B28,'Cental Budget - hwy'!$B$16:$AQ$90,AG$1,FALSE),0)+IF(ISNUMBER(VLOOKUP($B28,#REF!,AG$1,FALSE)),VLOOKUP($B28,#REF!,AG$1,FALSE),0)</f>
        <v>0</v>
      </c>
      <c r="AH28" s="101">
        <f>+IF(ISNUMBER(VLOOKUP($B28,'Cental Budget - hwy'!$B$16:$AQ$90,AH$1,FALSE)),VLOOKUP($B28,'Cental Budget - hwy'!$B$16:$AQ$90,AH$1,FALSE),0)+IF(ISNUMBER(VLOOKUP($B28,#REF!,AH$1,FALSE)),VLOOKUP($B28,#REF!,AH$1,FALSE),0)</f>
        <v>0</v>
      </c>
      <c r="AI28" s="194">
        <f>+IF(ISNUMBER(VLOOKUP($B28,'Cental Budget - hwy'!$B$16:$AQ$90,AI$1,FALSE)),VLOOKUP($B28,'Cental Budget - hwy'!$B$16:$AQ$90,AI$1,FALSE),0)+IF(ISNUMBER(VLOOKUP($B28,#REF!,AI$1,FALSE)),VLOOKUP($B28,#REF!,AI$1,FALSE),0)</f>
        <v>0</v>
      </c>
      <c r="AJ28" s="193">
        <f>+IF(ISNUMBER(VLOOKUP($B28,'Cental Budget - hwy'!$B$16:$AQ$90,AJ$1,FALSE)),VLOOKUP($B28,'Cental Budget - hwy'!$B$16:$AQ$90,AJ$1,FALSE),0)+IF(ISNUMBER(VLOOKUP($B28,#REF!,AJ$1,FALSE)),VLOOKUP($B28,#REF!,AJ$1,FALSE),0)</f>
        <v>0</v>
      </c>
      <c r="AK28" s="101">
        <f t="shared" si="12"/>
        <v>0</v>
      </c>
      <c r="AL28" s="193">
        <f>+IF(ISNUMBER(VLOOKUP($B28,'Cental Budget - hwy'!$B$16:$AQ$90,AL$1,FALSE)),VLOOKUP($B28,'Cental Budget - hwy'!$B$16:$AQ$90,AL$1,FALSE),0)+IF(ISNUMBER(VLOOKUP($B28,#REF!,AL$1,FALSE)),VLOOKUP($B28,#REF!,AL$1,FALSE),0)</f>
        <v>0</v>
      </c>
      <c r="AM28" s="101">
        <f t="shared" si="13"/>
        <v>0</v>
      </c>
      <c r="AO28" s="105"/>
      <c r="AP28" s="106"/>
      <c r="AQ28" s="106"/>
      <c r="AR28" s="106"/>
      <c r="AS28" s="106"/>
      <c r="AT28" s="107"/>
      <c r="AU28" s="81"/>
      <c r="AV28" s="81"/>
      <c r="AW28" s="81"/>
      <c r="AX28" s="81"/>
      <c r="AY28" s="81"/>
      <c r="AZ28" s="81"/>
      <c r="BA28" s="81"/>
      <c r="BB28" s="81"/>
      <c r="BC28" s="81"/>
      <c r="BD28" s="81"/>
      <c r="BE28" s="81"/>
      <c r="BF28" s="81"/>
      <c r="BG28" s="81"/>
      <c r="DS28" s="174"/>
      <c r="DT28" s="174"/>
      <c r="DU28" s="81"/>
    </row>
    <row r="29" spans="2:125" ht="15" customHeight="1">
      <c r="B29" s="80">
        <v>7123</v>
      </c>
      <c r="C29" s="99" t="str">
        <f>IF(MasterSheet!$A$1=1,MasterSheet!C84,MasterSheet!B84)</f>
        <v>Doprinosi za osiguranje od nezaposlenosti</v>
      </c>
      <c r="D29" s="193">
        <f>+IF(ISNUMBER(VLOOKUP($B29,'Cental Budget - hwy'!$B$16:$AQ$90,D$1,FALSE)),VLOOKUP($B29,'Cental Budget - hwy'!$B$16:$AQ$90,D$1,FALSE),0)+IF(ISNUMBER(VLOOKUP($B29,#REF!,D$1,FALSE)),VLOOKUP($B29,#REF!,D$1,FALSE),0)</f>
        <v>6384379.9699999997</v>
      </c>
      <c r="E29" s="101">
        <f t="shared" si="0"/>
        <v>0.29709991018660709</v>
      </c>
      <c r="F29" s="193">
        <f>+IF(ISNUMBER(VLOOKUP($B29,'Cental Budget - hwy'!$B$16:$AQ$90,F$1,FALSE)),VLOOKUP($B29,'Cental Budget - hwy'!$B$16:$AQ$90,F$1,FALSE),0)+IF(ISNUMBER(VLOOKUP($B29,#REF!,F$1,FALSE)),VLOOKUP($B29,#REF!,F$1,FALSE),0)</f>
        <v>7824299.6800000006</v>
      </c>
      <c r="G29" s="101">
        <f t="shared" si="1"/>
        <v>0.29189702219735131</v>
      </c>
      <c r="H29" s="193">
        <f>+IF(ISNUMBER(VLOOKUP($B29,'Cental Budget - hwy'!$B$16:$AQ$90,H$1,FALSE)),VLOOKUP($B29,'Cental Budget - hwy'!$B$16:$AQ$90,H$1,FALSE),0)+IF(ISNUMBER(VLOOKUP($B29,#REF!,H$1,FALSE)),VLOOKUP($B29,#REF!,H$1,FALSE),0)</f>
        <v>10201238.92</v>
      </c>
      <c r="I29" s="101">
        <f t="shared" si="2"/>
        <v>0.33060795047964742</v>
      </c>
      <c r="J29" s="193">
        <f>+IF(ISNUMBER(VLOOKUP($B29,'Cental Budget - hwy'!$B$16:$AQ$90,J$1,FALSE)),VLOOKUP($B29,'Cental Budget - hwy'!$B$16:$AQ$90,J$1,FALSE),0)+IF(ISNUMBER(VLOOKUP($B29,#REF!,J$1,FALSE)),VLOOKUP($B29,#REF!,J$1,FALSE),0)</f>
        <v>10445930.57</v>
      </c>
      <c r="K29" s="101">
        <f t="shared" si="3"/>
        <v>0.35041699329084197</v>
      </c>
      <c r="L29" s="193">
        <f>+IF(ISNUMBER(VLOOKUP($B29,'Cental Budget - hwy'!$B$16:$AQ$90,L$1,FALSE)),VLOOKUP($B29,'Cental Budget - hwy'!$B$16:$AQ$90,L$1,FALSE),0)+IF(ISNUMBER(VLOOKUP($B29,#REF!,L$1,FALSE)),VLOOKUP($B29,#REF!,L$1,FALSE),0)</f>
        <v>10149691.789999999</v>
      </c>
      <c r="M29" s="101">
        <f t="shared" si="4"/>
        <v>0.32698749323453608</v>
      </c>
      <c r="N29" s="193">
        <f>+IF(ISNUMBER(VLOOKUP($B29,'Cental Budget - hwy'!$B$16:$AQ$90,N$1,FALSE)),VLOOKUP($B29,'Cental Budget - hwy'!$B$16:$AQ$90,N$1,FALSE),0)+IF(ISNUMBER(VLOOKUP($B29,#REF!,N$1,FALSE)),VLOOKUP($B29,#REF!,N$1,FALSE),0)</f>
        <v>10764704.380000001</v>
      </c>
      <c r="O29" s="101">
        <f t="shared" si="5"/>
        <v>0.33286037043908479</v>
      </c>
      <c r="P29" s="193">
        <f>+IF(ISNUMBER(VLOOKUP($B29,'Cental Budget - hwy'!$B$16:$AQ$90,P$1,FALSE)),VLOOKUP($B29,'Cental Budget - hwy'!$B$16:$AQ$90,P$1,FALSE),0)+IF(ISNUMBER(VLOOKUP($B29,#REF!,P$1,FALSE)),VLOOKUP($B29,#REF!,P$1,FALSE),0)</f>
        <v>9987592.2599999998</v>
      </c>
      <c r="Q29" s="101">
        <f t="shared" si="6"/>
        <v>0.31716710892346772</v>
      </c>
      <c r="R29" s="193">
        <f>+IF(ISNUMBER(VLOOKUP($B29,'Cental Budget - hwy'!$B$16:$AQ$90,R$1,FALSE)),VLOOKUP($B29,'Cental Budget - hwy'!$B$16:$AQ$90,R$1,FALSE),0)+IF(ISNUMBER(VLOOKUP($B29,#REF!,R$1,FALSE)),VLOOKUP($B29,#REF!,R$1,FALSE),0)</f>
        <v>10770190.189999999</v>
      </c>
      <c r="S29" s="101">
        <f t="shared" si="7"/>
        <v>0.32285763879558199</v>
      </c>
      <c r="T29" s="193">
        <f>+IF(ISNUMBER(VLOOKUP($B29,'Cental Budget - hwy'!$B$16:$AQ$90,T$1,FALSE)),VLOOKUP($B29,'Cental Budget - hwy'!$B$16:$AQ$90,T$1,FALSE),0)+IF(ISNUMBER(VLOOKUP($B29,#REF!,T$1,FALSE)),VLOOKUP($B29,#REF!,T$1,FALSE),0)</f>
        <v>11617385.520490499</v>
      </c>
      <c r="U29" s="101">
        <f t="shared" si="8"/>
        <v>0.33040008975706336</v>
      </c>
      <c r="V29" s="192">
        <f>+IF(ISNUMBER(VLOOKUP($B29,'Cental Budget - hwy'!$B$16:$AQ$90,V$1,FALSE)),VLOOKUP($B29,'Cental Budget - hwy'!$B$16:$AQ$90,V$1,FALSE),0)+IF(ISNUMBER(VLOOKUP($B29,#REF!,V$1,FALSE)),VLOOKUP($B29,#REF!,V$1,FALSE),0)</f>
        <v>0</v>
      </c>
      <c r="W29" s="192">
        <f>+IF(ISNUMBER(VLOOKUP($B29,'Cental Budget - hwy'!$B$16:$AQ$90,W$1,FALSE)),VLOOKUP($B29,'Cental Budget - hwy'!$B$16:$AQ$90,W$1,FALSE),0)+IF(ISNUMBER(VLOOKUP($B29,#REF!,W$1,FALSE)),VLOOKUP($B29,#REF!,W$1,FALSE),0)</f>
        <v>116809.54</v>
      </c>
      <c r="X29" s="193">
        <f>+IF(ISNUMBER(VLOOKUP($B29,'Cental Budget - hwy'!$B$16:$AQ$90,X$1,FALSE)),VLOOKUP($B29,'Cental Budget - hwy'!$B$16:$AQ$90,X$1,FALSE),0)+IF(ISNUMBER(VLOOKUP($B29,#REF!,X$1,FALSE)),VLOOKUP($B29,#REF!,X$1,FALSE),0)</f>
        <v>0</v>
      </c>
      <c r="Y29" s="101">
        <f t="shared" si="9"/>
        <v>0</v>
      </c>
      <c r="Z29" s="193">
        <f>+IF(ISNUMBER(VLOOKUP($B29,'Cental Budget - hwy'!$B$16:$AQ$90,Z$1,FALSE)),VLOOKUP($B29,'Cental Budget - hwy'!$B$16:$AQ$90,Z$1,FALSE),0)+IF(ISNUMBER(VLOOKUP($B29,#REF!,Z$1,FALSE)),VLOOKUP($B29,#REF!,Z$1,FALSE),0)</f>
        <v>0</v>
      </c>
      <c r="AA29" s="101">
        <f t="shared" si="10"/>
        <v>0</v>
      </c>
      <c r="AB29" s="193">
        <f>+IF(ISNUMBER(VLOOKUP($B29,'Cental Budget - hwy'!$B$16:$AQ$90,AB$1,FALSE)),VLOOKUP($B29,'Cental Budget - hwy'!$B$16:$AQ$90,AB$1,FALSE),0)+IF(ISNUMBER(VLOOKUP($B29,#REF!,AB$1,FALSE)),VLOOKUP($B29,#REF!,AB$1,FALSE),0)</f>
        <v>0</v>
      </c>
      <c r="AC29" s="101">
        <f>+IF(ISNUMBER(VLOOKUP($B29,'Cental Budget - hwy'!$B$16:$AQ$90,AC$1,FALSE)),VLOOKUP($B29,'Cental Budget - hwy'!$B$16:$AQ$90,AC$1,FALSE),0)+IF(ISNUMBER(VLOOKUP($B29,#REF!,AC$1,FALSE)),VLOOKUP($B29,#REF!,AC$1,FALSE),0)</f>
        <v>0</v>
      </c>
      <c r="AD29" s="194">
        <f>+IF(ISNUMBER(VLOOKUP($B29,'Cental Budget - hwy'!$B$16:$AQ$90,AD$1,FALSE)),VLOOKUP($B29,'Cental Budget - hwy'!$B$16:$AQ$90,AD$1,FALSE),0)+IF(ISNUMBER(VLOOKUP($B29,#REF!,AD$1,FALSE)),VLOOKUP($B29,#REF!,AD$1,FALSE),0)</f>
        <v>0</v>
      </c>
      <c r="AE29" s="193">
        <f>+IF(ISNUMBER(VLOOKUP($B29,'Cental Budget - hwy'!$B$16:$AQ$90,AE$1,FALSE)),VLOOKUP($B29,'Cental Budget - hwy'!$B$16:$AQ$90,AE$1,FALSE),0)+IF(ISNUMBER(VLOOKUP($B29,#REF!,AE$1,FALSE)),VLOOKUP($B29,#REF!,AE$1,FALSE),0)</f>
        <v>0</v>
      </c>
      <c r="AF29" s="101">
        <f t="shared" si="11"/>
        <v>0</v>
      </c>
      <c r="AG29" s="193">
        <f>+IF(ISNUMBER(VLOOKUP($B29,'Cental Budget - hwy'!$B$16:$AQ$90,AG$1,FALSE)),VLOOKUP($B29,'Cental Budget - hwy'!$B$16:$AQ$90,AG$1,FALSE),0)+IF(ISNUMBER(VLOOKUP($B29,#REF!,AG$1,FALSE)),VLOOKUP($B29,#REF!,AG$1,FALSE),0)</f>
        <v>0</v>
      </c>
      <c r="AH29" s="101">
        <f>+IF(ISNUMBER(VLOOKUP($B29,'Cental Budget - hwy'!$B$16:$AQ$90,AH$1,FALSE)),VLOOKUP($B29,'Cental Budget - hwy'!$B$16:$AQ$90,AH$1,FALSE),0)+IF(ISNUMBER(VLOOKUP($B29,#REF!,AH$1,FALSE)),VLOOKUP($B29,#REF!,AH$1,FALSE),0)</f>
        <v>0</v>
      </c>
      <c r="AI29" s="194">
        <f>+IF(ISNUMBER(VLOOKUP($B29,'Cental Budget - hwy'!$B$16:$AQ$90,AI$1,FALSE)),VLOOKUP($B29,'Cental Budget - hwy'!$B$16:$AQ$90,AI$1,FALSE),0)+IF(ISNUMBER(VLOOKUP($B29,#REF!,AI$1,FALSE)),VLOOKUP($B29,#REF!,AI$1,FALSE),0)</f>
        <v>0</v>
      </c>
      <c r="AJ29" s="193">
        <f>+IF(ISNUMBER(VLOOKUP($B29,'Cental Budget - hwy'!$B$16:$AQ$90,AJ$1,FALSE)),VLOOKUP($B29,'Cental Budget - hwy'!$B$16:$AQ$90,AJ$1,FALSE),0)+IF(ISNUMBER(VLOOKUP($B29,#REF!,AJ$1,FALSE)),VLOOKUP($B29,#REF!,AJ$1,FALSE),0)</f>
        <v>0</v>
      </c>
      <c r="AK29" s="101">
        <f t="shared" si="12"/>
        <v>0</v>
      </c>
      <c r="AL29" s="193">
        <f>+IF(ISNUMBER(VLOOKUP($B29,'Cental Budget - hwy'!$B$16:$AQ$90,AL$1,FALSE)),VLOOKUP($B29,'Cental Budget - hwy'!$B$16:$AQ$90,AL$1,FALSE),0)+IF(ISNUMBER(VLOOKUP($B29,#REF!,AL$1,FALSE)),VLOOKUP($B29,#REF!,AL$1,FALSE),0)</f>
        <v>0</v>
      </c>
      <c r="AM29" s="101">
        <f t="shared" si="13"/>
        <v>0</v>
      </c>
      <c r="AO29" s="105"/>
      <c r="AP29" s="106"/>
      <c r="AQ29" s="103"/>
      <c r="AR29" s="103"/>
      <c r="AS29" s="103"/>
      <c r="AT29" s="107"/>
      <c r="AU29" s="81"/>
      <c r="AV29" s="81"/>
      <c r="AW29" s="81"/>
      <c r="AX29" s="81"/>
      <c r="AY29" s="81"/>
      <c r="AZ29" s="81"/>
      <c r="BA29" s="81"/>
      <c r="BB29" s="81"/>
      <c r="BC29" s="81"/>
      <c r="BD29" s="81"/>
      <c r="BE29" s="81"/>
      <c r="BF29" s="81"/>
      <c r="BG29" s="81"/>
      <c r="DS29" s="174"/>
      <c r="DT29" s="174"/>
      <c r="DU29" s="81"/>
    </row>
    <row r="30" spans="2:125" ht="15" customHeight="1">
      <c r="B30" s="80">
        <v>7124</v>
      </c>
      <c r="C30" s="99" t="str">
        <f>IF(MasterSheet!$A$1=1,MasterSheet!C85,MasterSheet!B85)</f>
        <v>Ostali doprinosi</v>
      </c>
      <c r="D30" s="193">
        <f>+IF(ISNUMBER(VLOOKUP($B30,'Cental Budget - hwy'!$B$16:$AQ$90,D$1,FALSE)),VLOOKUP($B30,'Cental Budget - hwy'!$B$16:$AQ$90,D$1,FALSE),0)+IF(ISNUMBER(VLOOKUP($B30,#REF!,D$1,FALSE)),VLOOKUP($B30,#REF!,D$1,FALSE),0)</f>
        <v>0</v>
      </c>
      <c r="E30" s="101">
        <f t="shared" si="0"/>
        <v>0</v>
      </c>
      <c r="F30" s="193">
        <f>+IF(ISNUMBER(VLOOKUP($B30,'Cental Budget - hwy'!$B$16:$AQ$90,F$1,FALSE)),VLOOKUP($B30,'Cental Budget - hwy'!$B$16:$AQ$90,F$1,FALSE),0)+IF(ISNUMBER(VLOOKUP($B30,#REF!,F$1,FALSE)),VLOOKUP($B30,#REF!,F$1,FALSE),0)</f>
        <v>0</v>
      </c>
      <c r="G30" s="101">
        <f t="shared" si="1"/>
        <v>0</v>
      </c>
      <c r="H30" s="193">
        <f>+IF(ISNUMBER(VLOOKUP($B30,'Cental Budget - hwy'!$B$16:$AQ$90,H$1,FALSE)),VLOOKUP($B30,'Cental Budget - hwy'!$B$16:$AQ$90,H$1,FALSE),0)+IF(ISNUMBER(VLOOKUP($B30,#REF!,H$1,FALSE)),VLOOKUP($B30,#REF!,H$1,FALSE),0)</f>
        <v>0</v>
      </c>
      <c r="I30" s="101">
        <f t="shared" si="2"/>
        <v>0</v>
      </c>
      <c r="J30" s="193">
        <f>+IF(ISNUMBER(VLOOKUP($B30,'Cental Budget - hwy'!$B$16:$AQ$90,J$1,FALSE)),VLOOKUP($B30,'Cental Budget - hwy'!$B$16:$AQ$90,J$1,FALSE),0)+IF(ISNUMBER(VLOOKUP($B30,#REF!,J$1,FALSE)),VLOOKUP($B30,#REF!,J$1,FALSE),0)</f>
        <v>0</v>
      </c>
      <c r="K30" s="101">
        <f t="shared" si="3"/>
        <v>0</v>
      </c>
      <c r="L30" s="193">
        <f>+IF(ISNUMBER(VLOOKUP($B30,'Cental Budget - hwy'!$B$16:$AQ$90,L$1,FALSE)),VLOOKUP($B30,'Cental Budget - hwy'!$B$16:$AQ$90,L$1,FALSE),0)+IF(ISNUMBER(VLOOKUP($B30,#REF!,L$1,FALSE)),VLOOKUP($B30,#REF!,L$1,FALSE),0)</f>
        <v>6215554.0999999996</v>
      </c>
      <c r="M30" s="101">
        <f t="shared" si="4"/>
        <v>0.20024336662371134</v>
      </c>
      <c r="N30" s="193">
        <f>+IF(ISNUMBER(VLOOKUP($B30,'Cental Budget - hwy'!$B$16:$AQ$90,N$1,FALSE)),VLOOKUP($B30,'Cental Budget - hwy'!$B$16:$AQ$90,N$1,FALSE),0)+IF(ISNUMBER(VLOOKUP($B30,#REF!,N$1,FALSE)),VLOOKUP($B30,#REF!,N$1,FALSE),0)</f>
        <v>8470089.0300000012</v>
      </c>
      <c r="O30" s="101">
        <f t="shared" si="5"/>
        <v>0.26190751484230057</v>
      </c>
      <c r="P30" s="193">
        <f>+IF(ISNUMBER(VLOOKUP($B30,'Cental Budget - hwy'!$B$16:$AQ$90,P$1,FALSE)),VLOOKUP($B30,'Cental Budget - hwy'!$B$16:$AQ$90,P$1,FALSE),0)+IF(ISNUMBER(VLOOKUP($B30,#REF!,P$1,FALSE)),VLOOKUP($B30,#REF!,P$1,FALSE),0)</f>
        <v>10022287.07</v>
      </c>
      <c r="Q30" s="101">
        <f t="shared" si="6"/>
        <v>0.3182688812321372</v>
      </c>
      <c r="R30" s="193">
        <f>+IF(ISNUMBER(VLOOKUP($B30,'Cental Budget - hwy'!$B$16:$AQ$90,R$1,FALSE)),VLOOKUP($B30,'Cental Budget - hwy'!$B$16:$AQ$90,R$1,FALSE),0)+IF(ISNUMBER(VLOOKUP($B30,#REF!,R$1,FALSE)),VLOOKUP($B30,#REF!,R$1,FALSE),0)</f>
        <v>11070841.180000002</v>
      </c>
      <c r="S30" s="101">
        <f t="shared" si="7"/>
        <v>0.33187024368189877</v>
      </c>
      <c r="T30" s="193">
        <f>+IF(ISNUMBER(VLOOKUP($B30,'Cental Budget - hwy'!$B$16:$AQ$90,T$1,FALSE)),VLOOKUP($B30,'Cental Budget - hwy'!$B$16:$AQ$90,T$1,FALSE),0)+IF(ISNUMBER(VLOOKUP($B30,#REF!,T$1,FALSE)),VLOOKUP($B30,#REF!,T$1,FALSE),0)</f>
        <v>12656092.6657611</v>
      </c>
      <c r="U30" s="101">
        <f t="shared" si="8"/>
        <v>0.3599410680971038</v>
      </c>
      <c r="V30" s="192">
        <f>+IF(ISNUMBER(VLOOKUP($B30,'Cental Budget - hwy'!$B$16:$AQ$90,V$1,FALSE)),VLOOKUP($B30,'Cental Budget - hwy'!$B$16:$AQ$90,V$1,FALSE),0)+IF(ISNUMBER(VLOOKUP($B30,#REF!,V$1,FALSE)),VLOOKUP($B30,#REF!,V$1,FALSE),0)</f>
        <v>0</v>
      </c>
      <c r="W30" s="192">
        <f>+IF(ISNUMBER(VLOOKUP($B30,'Cental Budget - hwy'!$B$16:$AQ$90,W$1,FALSE)),VLOOKUP($B30,'Cental Budget - hwy'!$B$16:$AQ$90,W$1,FALSE),0)+IF(ISNUMBER(VLOOKUP($B30,#REF!,W$1,FALSE)),VLOOKUP($B30,#REF!,W$1,FALSE),0)</f>
        <v>127253.45</v>
      </c>
      <c r="X30" s="193">
        <f>+IF(ISNUMBER(VLOOKUP($B30,'Cental Budget - hwy'!$B$16:$AQ$90,X$1,FALSE)),VLOOKUP($B30,'Cental Budget - hwy'!$B$16:$AQ$90,X$1,FALSE),0)+IF(ISNUMBER(VLOOKUP($B30,#REF!,X$1,FALSE)),VLOOKUP($B30,#REF!,X$1,FALSE),0)</f>
        <v>0</v>
      </c>
      <c r="Y30" s="101">
        <f t="shared" si="9"/>
        <v>0</v>
      </c>
      <c r="Z30" s="193">
        <f>+IF(ISNUMBER(VLOOKUP($B30,'Cental Budget - hwy'!$B$16:$AQ$90,Z$1,FALSE)),VLOOKUP($B30,'Cental Budget - hwy'!$B$16:$AQ$90,Z$1,FALSE),0)+IF(ISNUMBER(VLOOKUP($B30,#REF!,Z$1,FALSE)),VLOOKUP($B30,#REF!,Z$1,FALSE),0)</f>
        <v>0</v>
      </c>
      <c r="AA30" s="101">
        <f t="shared" si="10"/>
        <v>0</v>
      </c>
      <c r="AB30" s="193">
        <f>+IF(ISNUMBER(VLOOKUP($B30,'Cental Budget - hwy'!$B$16:$AQ$90,AB$1,FALSE)),VLOOKUP($B30,'Cental Budget - hwy'!$B$16:$AQ$90,AB$1,FALSE),0)+IF(ISNUMBER(VLOOKUP($B30,#REF!,AB$1,FALSE)),VLOOKUP($B30,#REF!,AB$1,FALSE),0)</f>
        <v>0</v>
      </c>
      <c r="AC30" s="101">
        <f>+IF(ISNUMBER(VLOOKUP($B30,'Cental Budget - hwy'!$B$16:$AQ$90,AC$1,FALSE)),VLOOKUP($B30,'Cental Budget - hwy'!$B$16:$AQ$90,AC$1,FALSE),0)+IF(ISNUMBER(VLOOKUP($B30,#REF!,AC$1,FALSE)),VLOOKUP($B30,#REF!,AC$1,FALSE),0)</f>
        <v>0</v>
      </c>
      <c r="AD30" s="194">
        <f>+IF(ISNUMBER(VLOOKUP($B30,'Cental Budget - hwy'!$B$16:$AQ$90,AD$1,FALSE)),VLOOKUP($B30,'Cental Budget - hwy'!$B$16:$AQ$90,AD$1,FALSE),0)+IF(ISNUMBER(VLOOKUP($B30,#REF!,AD$1,FALSE)),VLOOKUP($B30,#REF!,AD$1,FALSE),0)</f>
        <v>0</v>
      </c>
      <c r="AE30" s="193">
        <f>+IF(ISNUMBER(VLOOKUP($B30,'Cental Budget - hwy'!$B$16:$AQ$90,AE$1,FALSE)),VLOOKUP($B30,'Cental Budget - hwy'!$B$16:$AQ$90,AE$1,FALSE),0)+IF(ISNUMBER(VLOOKUP($B30,#REF!,AE$1,FALSE)),VLOOKUP($B30,#REF!,AE$1,FALSE),0)</f>
        <v>0</v>
      </c>
      <c r="AF30" s="101">
        <f t="shared" si="11"/>
        <v>0</v>
      </c>
      <c r="AG30" s="193">
        <f>+IF(ISNUMBER(VLOOKUP($B30,'Cental Budget - hwy'!$B$16:$AQ$90,AG$1,FALSE)),VLOOKUP($B30,'Cental Budget - hwy'!$B$16:$AQ$90,AG$1,FALSE),0)+IF(ISNUMBER(VLOOKUP($B30,#REF!,AG$1,FALSE)),VLOOKUP($B30,#REF!,AG$1,FALSE),0)</f>
        <v>0</v>
      </c>
      <c r="AH30" s="101">
        <f>+IF(ISNUMBER(VLOOKUP($B30,'Cental Budget - hwy'!$B$16:$AQ$90,AH$1,FALSE)),VLOOKUP($B30,'Cental Budget - hwy'!$B$16:$AQ$90,AH$1,FALSE),0)+IF(ISNUMBER(VLOOKUP($B30,#REF!,AH$1,FALSE)),VLOOKUP($B30,#REF!,AH$1,FALSE),0)</f>
        <v>0</v>
      </c>
      <c r="AI30" s="194">
        <f>+IF(ISNUMBER(VLOOKUP($B30,'Cental Budget - hwy'!$B$16:$AQ$90,AI$1,FALSE)),VLOOKUP($B30,'Cental Budget - hwy'!$B$16:$AQ$90,AI$1,FALSE),0)+IF(ISNUMBER(VLOOKUP($B30,#REF!,AI$1,FALSE)),VLOOKUP($B30,#REF!,AI$1,FALSE),0)</f>
        <v>0</v>
      </c>
      <c r="AJ30" s="193">
        <f>+IF(ISNUMBER(VLOOKUP($B30,'Cental Budget - hwy'!$B$16:$AQ$90,AJ$1,FALSE)),VLOOKUP($B30,'Cental Budget - hwy'!$B$16:$AQ$90,AJ$1,FALSE),0)+IF(ISNUMBER(VLOOKUP($B30,#REF!,AJ$1,FALSE)),VLOOKUP($B30,#REF!,AJ$1,FALSE),0)</f>
        <v>0</v>
      </c>
      <c r="AK30" s="101">
        <f t="shared" si="12"/>
        <v>0</v>
      </c>
      <c r="AL30" s="193">
        <f>+IF(ISNUMBER(VLOOKUP($B30,'Cental Budget - hwy'!$B$16:$AQ$90,AL$1,FALSE)),VLOOKUP($B30,'Cental Budget - hwy'!$B$16:$AQ$90,AL$1,FALSE),0)+IF(ISNUMBER(VLOOKUP($B30,#REF!,AL$1,FALSE)),VLOOKUP($B30,#REF!,AL$1,FALSE),0)</f>
        <v>0</v>
      </c>
      <c r="AM30" s="101">
        <f t="shared" si="13"/>
        <v>0</v>
      </c>
      <c r="AO30" s="105"/>
      <c r="AP30" s="106"/>
      <c r="AQ30" s="103"/>
      <c r="AR30" s="103"/>
      <c r="AS30" s="103"/>
      <c r="AT30" s="107"/>
      <c r="AU30" s="81"/>
      <c r="AV30" s="81"/>
      <c r="AW30" s="81"/>
      <c r="AX30" s="81"/>
      <c r="AY30" s="81"/>
      <c r="AZ30" s="81"/>
      <c r="BA30" s="81"/>
      <c r="BB30" s="81"/>
      <c r="BC30" s="81"/>
      <c r="BD30" s="81"/>
      <c r="BE30" s="81"/>
      <c r="BF30" s="81"/>
      <c r="BG30" s="81"/>
      <c r="DS30" s="81"/>
      <c r="DT30" s="81"/>
      <c r="DU30" s="81"/>
    </row>
    <row r="31" spans="2:125" ht="15" customHeight="1">
      <c r="B31" s="80">
        <v>713</v>
      </c>
      <c r="C31" s="94" t="str">
        <f>IF(MasterSheet!$A$1=1,MasterSheet!C86,MasterSheet!B86)</f>
        <v>Takse</v>
      </c>
      <c r="D31" s="189">
        <f>+IF(ISNUMBER(VLOOKUP($B31,'Cental Budget - hwy'!$B$16:$AQ$90,D$1,FALSE)),VLOOKUP($B31,'Cental Budget - hwy'!$B$16:$AQ$90,D$1,FALSE),0)+IF(ISNUMBER(VLOOKUP($B31,#REF!,D$1,FALSE)),VLOOKUP($B31,#REF!,D$1,FALSE),0)</f>
        <v>15777845.709999993</v>
      </c>
      <c r="E31" s="98">
        <f t="shared" si="0"/>
        <v>0.73422894085345958</v>
      </c>
      <c r="F31" s="189">
        <f>+IF(ISNUMBER(VLOOKUP($B31,'Cental Budget - hwy'!$B$16:$AQ$90,F$1,FALSE)),VLOOKUP($B31,'Cental Budget - hwy'!$B$16:$AQ$90,F$1,FALSE),0)+IF(ISNUMBER(VLOOKUP($B31,#REF!,F$1,FALSE)),VLOOKUP($B31,#REF!,F$1,FALSE),0)</f>
        <v>21847073.970000003</v>
      </c>
      <c r="G31" s="98">
        <f t="shared" si="1"/>
        <v>0.81503726804700616</v>
      </c>
      <c r="H31" s="189">
        <f>+IF(ISNUMBER(VLOOKUP($B31,'Cental Budget - hwy'!$B$16:$AQ$90,H$1,FALSE)),VLOOKUP($B31,'Cental Budget - hwy'!$B$16:$AQ$90,H$1,FALSE),0)+IF(ISNUMBER(VLOOKUP($B31,#REF!,H$1,FALSE)),VLOOKUP($B31,#REF!,H$1,FALSE),0)</f>
        <v>26594093.5</v>
      </c>
      <c r="I31" s="98">
        <f t="shared" si="2"/>
        <v>0.86187754407570649</v>
      </c>
      <c r="J31" s="189">
        <f>+IF(ISNUMBER(VLOOKUP($B31,'Cental Budget - hwy'!$B$16:$AQ$90,J$1,FALSE)),VLOOKUP($B31,'Cental Budget - hwy'!$B$16:$AQ$90,J$1,FALSE),0)+IF(ISNUMBER(VLOOKUP($B31,#REF!,J$1,FALSE)),VLOOKUP($B31,#REF!,J$1,FALSE),0)</f>
        <v>22516562.169999998</v>
      </c>
      <c r="K31" s="98">
        <f t="shared" si="3"/>
        <v>0.75533586615229786</v>
      </c>
      <c r="L31" s="189">
        <f>+IF(ISNUMBER(VLOOKUP($B31,'Cental Budget - hwy'!$B$16:$AQ$90,L$1,FALSE)),VLOOKUP($B31,'Cental Budget - hwy'!$B$16:$AQ$90,L$1,FALSE),0)+IF(ISNUMBER(VLOOKUP($B31,#REF!,L$1,FALSE)),VLOOKUP($B31,#REF!,L$1,FALSE),0)</f>
        <v>20544226.239999998</v>
      </c>
      <c r="M31" s="98">
        <f t="shared" si="4"/>
        <v>0.66186295876288659</v>
      </c>
      <c r="N31" s="189">
        <f>+IF(ISNUMBER(VLOOKUP($B31,'Cental Budget - hwy'!$B$16:$AQ$90,N$1,FALSE)),VLOOKUP($B31,'Cental Budget - hwy'!$B$16:$AQ$90,N$1,FALSE),0)+IF(ISNUMBER(VLOOKUP($B31,#REF!,N$1,FALSE)),VLOOKUP($B31,#REF!,N$1,FALSE),0)</f>
        <v>16011669.92</v>
      </c>
      <c r="O31" s="98">
        <f t="shared" si="5"/>
        <v>0.49510420284477424</v>
      </c>
      <c r="P31" s="189">
        <f>+IF(ISNUMBER(VLOOKUP($B31,'Cental Budget - hwy'!$B$16:$AQ$90,P$1,FALSE)),VLOOKUP($B31,'Cental Budget - hwy'!$B$16:$AQ$90,P$1,FALSE),0)+IF(ISNUMBER(VLOOKUP($B31,#REF!,P$1,FALSE)),VLOOKUP($B31,#REF!,P$1,FALSE),0)</f>
        <v>17998206.289999999</v>
      </c>
      <c r="Q31" s="98">
        <f t="shared" si="6"/>
        <v>0.57155307367418229</v>
      </c>
      <c r="R31" s="189">
        <f>+IF(ISNUMBER(VLOOKUP($B31,'Cental Budget - hwy'!$B$16:$AQ$90,R$1,FALSE)),VLOOKUP($B31,'Cental Budget - hwy'!$B$16:$AQ$90,R$1,FALSE),0)+IF(ISNUMBER(VLOOKUP($B31,#REF!,R$1,FALSE)),VLOOKUP($B31,#REF!,R$1,FALSE),0)</f>
        <v>27069458</v>
      </c>
      <c r="S31" s="98">
        <f t="shared" si="7"/>
        <v>0.81146025642804165</v>
      </c>
      <c r="T31" s="189">
        <f>+IF(ISNUMBER(VLOOKUP($B31,'Cental Budget - hwy'!$B$16:$AQ$90,T$1,FALSE)),VLOOKUP($B31,'Cental Budget - hwy'!$B$16:$AQ$90,T$1,FALSE),0)+IF(ISNUMBER(VLOOKUP($B31,#REF!,T$1,FALSE)),VLOOKUP($B31,#REF!,T$1,FALSE),0)</f>
        <v>20923047.198280636</v>
      </c>
      <c r="U31" s="98">
        <f t="shared" si="8"/>
        <v>0.59505442598166625</v>
      </c>
      <c r="V31" s="96">
        <f>+IF(ISNUMBER(VLOOKUP($B31,'Cental Budget - hwy'!$B$16:$AQ$90,V$1,FALSE)),VLOOKUP($B31,'Cental Budget - hwy'!$B$16:$AQ$90,V$1,FALSE),0)+IF(ISNUMBER(VLOOKUP($B31,#REF!,V$1,FALSE)),VLOOKUP($B31,#REF!,V$1,FALSE),0)</f>
        <v>0</v>
      </c>
      <c r="W31" s="96">
        <f>+IF(ISNUMBER(VLOOKUP($B31,'Cental Budget - hwy'!$B$16:$AQ$90,W$1,FALSE)),VLOOKUP($B31,'Cental Budget - hwy'!$B$16:$AQ$90,W$1,FALSE),0)+IF(ISNUMBER(VLOOKUP($B31,#REF!,W$1,FALSE)),VLOOKUP($B31,#REF!,W$1,FALSE),0)</f>
        <v>0</v>
      </c>
      <c r="X31" s="189">
        <f>+IF(ISNUMBER(VLOOKUP($B31,'Cental Budget - hwy'!$B$16:$AQ$90,X$1,FALSE)),VLOOKUP($B31,'Cental Budget - hwy'!$B$16:$AQ$90,X$1,FALSE),0)+IF(ISNUMBER(VLOOKUP($B31,#REF!,X$1,FALSE)),VLOOKUP($B31,#REF!,X$1,FALSE),0)</f>
        <v>0</v>
      </c>
      <c r="Y31" s="98">
        <f t="shared" si="9"/>
        <v>0</v>
      </c>
      <c r="Z31" s="189">
        <f>+IF(ISNUMBER(VLOOKUP($B31,'Cental Budget - hwy'!$B$16:$AQ$90,Z$1,FALSE)),VLOOKUP($B31,'Cental Budget - hwy'!$B$16:$AQ$90,Z$1,FALSE),0)+IF(ISNUMBER(VLOOKUP($B31,#REF!,Z$1,FALSE)),VLOOKUP($B31,#REF!,Z$1,FALSE),0)</f>
        <v>0</v>
      </c>
      <c r="AA31" s="98">
        <f t="shared" si="10"/>
        <v>0</v>
      </c>
      <c r="AB31" s="189">
        <f>+IF(ISNUMBER(VLOOKUP($B31,'Cental Budget - hwy'!$B$16:$AQ$90,AB$1,FALSE)),VLOOKUP($B31,'Cental Budget - hwy'!$B$16:$AQ$90,AB$1,FALSE),0)+IF(ISNUMBER(VLOOKUP($B31,#REF!,AB$1,FALSE)),VLOOKUP($B31,#REF!,AB$1,FALSE),0)</f>
        <v>0</v>
      </c>
      <c r="AC31" s="98">
        <f>+IF(ISNUMBER(VLOOKUP($B31,'Cental Budget - hwy'!$B$16:$AQ$90,AC$1,FALSE)),VLOOKUP($B31,'Cental Budget - hwy'!$B$16:$AQ$90,AC$1,FALSE),0)+IF(ISNUMBER(VLOOKUP($B31,#REF!,AC$1,FALSE)),VLOOKUP($B31,#REF!,AC$1,FALSE),0)</f>
        <v>0</v>
      </c>
      <c r="AD31" s="190">
        <f>+IF(ISNUMBER(VLOOKUP($B31,'Cental Budget - hwy'!$B$16:$AQ$90,AD$1,FALSE)),VLOOKUP($B31,'Cental Budget - hwy'!$B$16:$AQ$90,AD$1,FALSE),0)+IF(ISNUMBER(VLOOKUP($B31,#REF!,AD$1,FALSE)),VLOOKUP($B31,#REF!,AD$1,FALSE),0)</f>
        <v>0</v>
      </c>
      <c r="AE31" s="189">
        <f>+IF(ISNUMBER(VLOOKUP($B31,'Cental Budget - hwy'!$B$16:$AQ$90,AE$1,FALSE)),VLOOKUP($B31,'Cental Budget - hwy'!$B$16:$AQ$90,AE$1,FALSE),0)+IF(ISNUMBER(VLOOKUP($B31,#REF!,AE$1,FALSE)),VLOOKUP($B31,#REF!,AE$1,FALSE),0)</f>
        <v>0</v>
      </c>
      <c r="AF31" s="98">
        <f t="shared" si="11"/>
        <v>0</v>
      </c>
      <c r="AG31" s="189">
        <f>+IF(ISNUMBER(VLOOKUP($B31,'Cental Budget - hwy'!$B$16:$AQ$90,AG$1,FALSE)),VLOOKUP($B31,'Cental Budget - hwy'!$B$16:$AQ$90,AG$1,FALSE),0)+IF(ISNUMBER(VLOOKUP($B31,#REF!,AG$1,FALSE)),VLOOKUP($B31,#REF!,AG$1,FALSE),0)</f>
        <v>0</v>
      </c>
      <c r="AH31" s="98">
        <f>+IF(ISNUMBER(VLOOKUP($B31,'Cental Budget - hwy'!$B$16:$AQ$90,AH$1,FALSE)),VLOOKUP($B31,'Cental Budget - hwy'!$B$16:$AQ$90,AH$1,FALSE),0)+IF(ISNUMBER(VLOOKUP($B31,#REF!,AH$1,FALSE)),VLOOKUP($B31,#REF!,AH$1,FALSE),0)</f>
        <v>0</v>
      </c>
      <c r="AI31" s="190">
        <f>+IF(ISNUMBER(VLOOKUP($B31,'Cental Budget - hwy'!$B$16:$AQ$90,AI$1,FALSE)),VLOOKUP($B31,'Cental Budget - hwy'!$B$16:$AQ$90,AI$1,FALSE),0)+IF(ISNUMBER(VLOOKUP($B31,#REF!,AI$1,FALSE)),VLOOKUP($B31,#REF!,AI$1,FALSE),0)</f>
        <v>0</v>
      </c>
      <c r="AJ31" s="189">
        <f>+IF(ISNUMBER(VLOOKUP($B31,'Cental Budget - hwy'!$B$16:$AQ$90,AJ$1,FALSE)),VLOOKUP($B31,'Cental Budget - hwy'!$B$16:$AQ$90,AJ$1,FALSE),0)+IF(ISNUMBER(VLOOKUP($B31,#REF!,AJ$1,FALSE)),VLOOKUP($B31,#REF!,AJ$1,FALSE),0)</f>
        <v>0</v>
      </c>
      <c r="AK31" s="98">
        <f t="shared" si="12"/>
        <v>0</v>
      </c>
      <c r="AL31" s="189">
        <f>+IF(ISNUMBER(VLOOKUP($B31,'Cental Budget - hwy'!$B$16:$AQ$90,AL$1,FALSE)),VLOOKUP($B31,'Cental Budget - hwy'!$B$16:$AQ$90,AL$1,FALSE),0)+IF(ISNUMBER(VLOOKUP($B31,#REF!,AL$1,FALSE)),VLOOKUP($B31,#REF!,AL$1,FALSE),0)</f>
        <v>0</v>
      </c>
      <c r="AM31" s="98">
        <f t="shared" si="13"/>
        <v>0</v>
      </c>
      <c r="AO31" s="105"/>
      <c r="AP31" s="106"/>
      <c r="AQ31" s="103"/>
      <c r="AR31" s="103"/>
      <c r="AS31" s="103"/>
      <c r="AT31" s="107"/>
      <c r="AU31" s="81"/>
      <c r="AV31" s="81"/>
      <c r="AW31" s="81"/>
      <c r="AX31" s="81"/>
      <c r="AY31" s="81"/>
      <c r="AZ31" s="81"/>
      <c r="BA31" s="81"/>
      <c r="BB31" s="81"/>
      <c r="BC31" s="81"/>
      <c r="BD31" s="81"/>
      <c r="BE31" s="81"/>
      <c r="BF31" s="81"/>
      <c r="BG31" s="81"/>
      <c r="DS31" s="81"/>
      <c r="DT31" s="81"/>
      <c r="DU31" s="81"/>
    </row>
    <row r="32" spans="2:125" ht="15" customHeight="1">
      <c r="B32" s="80">
        <v>714</v>
      </c>
      <c r="C32" s="94" t="str">
        <f>IF(MasterSheet!$A$1=1,MasterSheet!C91,MasterSheet!B91)</f>
        <v>Naknade</v>
      </c>
      <c r="D32" s="189">
        <f>+IF(ISNUMBER(VLOOKUP($B32,'Cental Budget - hwy'!$B$16:$AQ$90,D$1,FALSE)),VLOOKUP($B32,'Cental Budget - hwy'!$B$16:$AQ$90,D$1,FALSE),0)+IF(ISNUMBER(VLOOKUP($B32,#REF!,D$1,FALSE)),VLOOKUP($B32,#REF!,D$1,FALSE),0)</f>
        <v>17868340.149999995</v>
      </c>
      <c r="E32" s="98">
        <f t="shared" si="0"/>
        <v>0.83151101261110316</v>
      </c>
      <c r="F32" s="189">
        <f>+IF(ISNUMBER(VLOOKUP($B32,'Cental Budget - hwy'!$B$16:$AQ$90,F$1,FALSE)),VLOOKUP($B32,'Cental Budget - hwy'!$B$16:$AQ$90,F$1,FALSE),0)+IF(ISNUMBER(VLOOKUP($B32,#REF!,F$1,FALSE)),VLOOKUP($B32,#REF!,F$1,FALSE),0)</f>
        <v>22895117.909999996</v>
      </c>
      <c r="G32" s="98">
        <f t="shared" si="1"/>
        <v>0.85413609065472851</v>
      </c>
      <c r="H32" s="189">
        <f>+IF(ISNUMBER(VLOOKUP($B32,'Cental Budget - hwy'!$B$16:$AQ$90,H$1,FALSE)),VLOOKUP($B32,'Cental Budget - hwy'!$B$16:$AQ$90,H$1,FALSE),0)+IF(ISNUMBER(VLOOKUP($B32,#REF!,H$1,FALSE)),VLOOKUP($B32,#REF!,H$1,FALSE),0)</f>
        <v>38239154.099999994</v>
      </c>
      <c r="I32" s="98">
        <f t="shared" si="2"/>
        <v>1.2392777450090742</v>
      </c>
      <c r="J32" s="189">
        <f>+IF(ISNUMBER(VLOOKUP($B32,'Cental Budget - hwy'!$B$16:$AQ$90,J$1,FALSE)),VLOOKUP($B32,'Cental Budget - hwy'!$B$16:$AQ$90,J$1,FALSE),0)+IF(ISNUMBER(VLOOKUP($B32,#REF!,J$1,FALSE)),VLOOKUP($B32,#REF!,J$1,FALSE),0)</f>
        <v>28332415.080000002</v>
      </c>
      <c r="K32" s="98">
        <f t="shared" si="3"/>
        <v>0.95043324656155659</v>
      </c>
      <c r="L32" s="189">
        <f>+IF(ISNUMBER(VLOOKUP($B32,'Cental Budget - hwy'!$B$16:$AQ$90,L$1,FALSE)),VLOOKUP($B32,'Cental Budget - hwy'!$B$16:$AQ$90,L$1,FALSE),0)+IF(ISNUMBER(VLOOKUP($B32,#REF!,L$1,FALSE)),VLOOKUP($B32,#REF!,L$1,FALSE),0)</f>
        <v>27428633.469999999</v>
      </c>
      <c r="M32" s="98">
        <f t="shared" si="4"/>
        <v>0.88365442880154643</v>
      </c>
      <c r="N32" s="189">
        <f>+IF(ISNUMBER(VLOOKUP($B32,'Cental Budget - hwy'!$B$16:$AQ$90,N$1,FALSE)),VLOOKUP($B32,'Cental Budget - hwy'!$B$16:$AQ$90,N$1,FALSE),0)+IF(ISNUMBER(VLOOKUP($B32,#REF!,N$1,FALSE)),VLOOKUP($B32,#REF!,N$1,FALSE),0)</f>
        <v>25699255.23</v>
      </c>
      <c r="O32" s="98">
        <f t="shared" si="5"/>
        <v>0.79465847959183677</v>
      </c>
      <c r="P32" s="189">
        <f>+IF(ISNUMBER(VLOOKUP($B32,'Cental Budget - hwy'!$B$16:$AQ$90,P$1,FALSE)),VLOOKUP($B32,'Cental Budget - hwy'!$B$16:$AQ$90,P$1,FALSE),0)+IF(ISNUMBER(VLOOKUP($B32,#REF!,P$1,FALSE)),VLOOKUP($B32,#REF!,P$1,FALSE),0)</f>
        <v>12706115.310000001</v>
      </c>
      <c r="Q32" s="98">
        <f t="shared" si="6"/>
        <v>0.40349683423308985</v>
      </c>
      <c r="R32" s="189">
        <f>+IF(ISNUMBER(VLOOKUP($B32,'Cental Budget - hwy'!$B$16:$AQ$90,R$1,FALSE)),VLOOKUP($B32,'Cental Budget - hwy'!$B$16:$AQ$90,R$1,FALSE),0)+IF(ISNUMBER(VLOOKUP($B32,#REF!,R$1,FALSE)),VLOOKUP($B32,#REF!,R$1,FALSE),0)</f>
        <v>13233490.18</v>
      </c>
      <c r="S32" s="98">
        <f t="shared" si="7"/>
        <v>0.39669990196703492</v>
      </c>
      <c r="T32" s="189">
        <f>+IF(ISNUMBER(VLOOKUP($B32,'Cental Budget - hwy'!$B$16:$AQ$90,T$1,FALSE)),VLOOKUP($B32,'Cental Budget - hwy'!$B$16:$AQ$90,T$1,FALSE),0)+IF(ISNUMBER(VLOOKUP($B32,#REF!,T$1,FALSE)),VLOOKUP($B32,#REF!,T$1,FALSE),0)</f>
        <v>13024243.76827177</v>
      </c>
      <c r="U32" s="98">
        <f t="shared" si="8"/>
        <v>0.37041133759957889</v>
      </c>
      <c r="V32" s="96">
        <f>+IF(ISNUMBER(VLOOKUP($B32,'Cental Budget - hwy'!$B$16:$AQ$90,V$1,FALSE)),VLOOKUP($B32,'Cental Budget - hwy'!$B$16:$AQ$90,V$1,FALSE),0)+IF(ISNUMBER(VLOOKUP($B32,#REF!,V$1,FALSE)),VLOOKUP($B32,#REF!,V$1,FALSE),0)</f>
        <v>0</v>
      </c>
      <c r="W32" s="96">
        <f>+IF(ISNUMBER(VLOOKUP($B32,'Cental Budget - hwy'!$B$16:$AQ$90,W$1,FALSE)),VLOOKUP($B32,'Cental Budget - hwy'!$B$16:$AQ$90,W$1,FALSE),0)+IF(ISNUMBER(VLOOKUP($B32,#REF!,W$1,FALSE)),VLOOKUP($B32,#REF!,W$1,FALSE),0)</f>
        <v>0</v>
      </c>
      <c r="X32" s="189">
        <f>+IF(ISNUMBER(VLOOKUP($B32,'Cental Budget - hwy'!$B$16:$AQ$90,X$1,FALSE)),VLOOKUP($B32,'Cental Budget - hwy'!$B$16:$AQ$90,X$1,FALSE),0)+IF(ISNUMBER(VLOOKUP($B32,#REF!,X$1,FALSE)),VLOOKUP($B32,#REF!,X$1,FALSE),0)</f>
        <v>0</v>
      </c>
      <c r="Y32" s="98">
        <f t="shared" si="9"/>
        <v>0</v>
      </c>
      <c r="Z32" s="189">
        <f>+IF(ISNUMBER(VLOOKUP($B32,'Cental Budget - hwy'!$B$16:$AQ$90,Z$1,FALSE)),VLOOKUP($B32,'Cental Budget - hwy'!$B$16:$AQ$90,Z$1,FALSE),0)+IF(ISNUMBER(VLOOKUP($B32,#REF!,Z$1,FALSE)),VLOOKUP($B32,#REF!,Z$1,FALSE),0)</f>
        <v>0</v>
      </c>
      <c r="AA32" s="98">
        <f t="shared" si="10"/>
        <v>0</v>
      </c>
      <c r="AB32" s="189">
        <f>+IF(ISNUMBER(VLOOKUP($B32,'Cental Budget - hwy'!$B$16:$AQ$90,AB$1,FALSE)),VLOOKUP($B32,'Cental Budget - hwy'!$B$16:$AQ$90,AB$1,FALSE),0)+IF(ISNUMBER(VLOOKUP($B32,#REF!,AB$1,FALSE)),VLOOKUP($B32,#REF!,AB$1,FALSE),0)</f>
        <v>0</v>
      </c>
      <c r="AC32" s="98">
        <f>+IF(ISNUMBER(VLOOKUP($B32,'Cental Budget - hwy'!$B$16:$AQ$90,AC$1,FALSE)),VLOOKUP($B32,'Cental Budget - hwy'!$B$16:$AQ$90,AC$1,FALSE),0)+IF(ISNUMBER(VLOOKUP($B32,#REF!,AC$1,FALSE)),VLOOKUP($B32,#REF!,AC$1,FALSE),0)</f>
        <v>0</v>
      </c>
      <c r="AD32" s="190">
        <f>+IF(ISNUMBER(VLOOKUP($B32,'Cental Budget - hwy'!$B$16:$AQ$90,AD$1,FALSE)),VLOOKUP($B32,'Cental Budget - hwy'!$B$16:$AQ$90,AD$1,FALSE),0)+IF(ISNUMBER(VLOOKUP($B32,#REF!,AD$1,FALSE)),VLOOKUP($B32,#REF!,AD$1,FALSE),0)</f>
        <v>0</v>
      </c>
      <c r="AE32" s="189">
        <f>+IF(ISNUMBER(VLOOKUP($B32,'Cental Budget - hwy'!$B$16:$AQ$90,AE$1,FALSE)),VLOOKUP($B32,'Cental Budget - hwy'!$B$16:$AQ$90,AE$1,FALSE),0)+IF(ISNUMBER(VLOOKUP($B32,#REF!,AE$1,FALSE)),VLOOKUP($B32,#REF!,AE$1,FALSE),0)</f>
        <v>0</v>
      </c>
      <c r="AF32" s="98">
        <f t="shared" si="11"/>
        <v>0</v>
      </c>
      <c r="AG32" s="189">
        <f>+IF(ISNUMBER(VLOOKUP($B32,'Cental Budget - hwy'!$B$16:$AQ$90,AG$1,FALSE)),VLOOKUP($B32,'Cental Budget - hwy'!$B$16:$AQ$90,AG$1,FALSE),0)+IF(ISNUMBER(VLOOKUP($B32,#REF!,AG$1,FALSE)),VLOOKUP($B32,#REF!,AG$1,FALSE),0)</f>
        <v>0</v>
      </c>
      <c r="AH32" s="98">
        <f>+IF(ISNUMBER(VLOOKUP($B32,'Cental Budget - hwy'!$B$16:$AQ$90,AH$1,FALSE)),VLOOKUP($B32,'Cental Budget - hwy'!$B$16:$AQ$90,AH$1,FALSE),0)+IF(ISNUMBER(VLOOKUP($B32,#REF!,AH$1,FALSE)),VLOOKUP($B32,#REF!,AH$1,FALSE),0)</f>
        <v>0</v>
      </c>
      <c r="AI32" s="190">
        <f>+IF(ISNUMBER(VLOOKUP($B32,'Cental Budget - hwy'!$B$16:$AQ$90,AI$1,FALSE)),VLOOKUP($B32,'Cental Budget - hwy'!$B$16:$AQ$90,AI$1,FALSE),0)+IF(ISNUMBER(VLOOKUP($B32,#REF!,AI$1,FALSE)),VLOOKUP($B32,#REF!,AI$1,FALSE),0)</f>
        <v>0</v>
      </c>
      <c r="AJ32" s="189">
        <f>+IF(ISNUMBER(VLOOKUP($B32,'Cental Budget - hwy'!$B$16:$AQ$90,AJ$1,FALSE)),VLOOKUP($B32,'Cental Budget - hwy'!$B$16:$AQ$90,AJ$1,FALSE),0)+IF(ISNUMBER(VLOOKUP($B32,#REF!,AJ$1,FALSE)),VLOOKUP($B32,#REF!,AJ$1,FALSE),0)</f>
        <v>0</v>
      </c>
      <c r="AK32" s="98">
        <f t="shared" si="12"/>
        <v>0</v>
      </c>
      <c r="AL32" s="189">
        <f>+IF(ISNUMBER(VLOOKUP($B32,'Cental Budget - hwy'!$B$16:$AQ$90,AL$1,FALSE)),VLOOKUP($B32,'Cental Budget - hwy'!$B$16:$AQ$90,AL$1,FALSE),0)+IF(ISNUMBER(VLOOKUP($B32,#REF!,AL$1,FALSE)),VLOOKUP($B32,#REF!,AL$1,FALSE),0)</f>
        <v>0</v>
      </c>
      <c r="AM32" s="98">
        <f t="shared" si="13"/>
        <v>0</v>
      </c>
      <c r="AO32" s="105"/>
      <c r="AP32" s="106" t="s">
        <v>430</v>
      </c>
      <c r="AQ32" s="103"/>
      <c r="AR32" s="103"/>
      <c r="AS32" s="103"/>
      <c r="AT32" s="107"/>
      <c r="AU32" s="81"/>
      <c r="AV32" s="81"/>
      <c r="AW32" s="81"/>
      <c r="AX32" s="81"/>
      <c r="AY32" s="81"/>
      <c r="AZ32" s="81"/>
      <c r="BA32" s="81"/>
      <c r="BB32" s="81"/>
      <c r="BC32" s="81"/>
      <c r="BD32" s="81"/>
      <c r="BE32" s="81"/>
      <c r="BF32" s="81"/>
      <c r="BG32" s="81"/>
      <c r="DS32" s="174"/>
      <c r="DT32" s="174"/>
      <c r="DU32" s="174"/>
    </row>
    <row r="33" spans="1:128" ht="15" customHeight="1">
      <c r="B33" s="80">
        <v>715</v>
      </c>
      <c r="C33" s="94" t="str">
        <f>IF(MasterSheet!$A$1=1,MasterSheet!C98,MasterSheet!B98)</f>
        <v>Ostali prihodi</v>
      </c>
      <c r="D33" s="189">
        <f>+IF(ISNUMBER(VLOOKUP($B33,'Cental Budget - hwy'!$B$16:$AQ$90,D$1,FALSE)),VLOOKUP($B33,'Cental Budget - hwy'!$B$16:$AQ$90,D$1,FALSE),0)+IF(ISNUMBER(VLOOKUP($B33,#REF!,D$1,FALSE)),VLOOKUP($B33,#REF!,D$1,FALSE),0)</f>
        <v>60725640.779999994</v>
      </c>
      <c r="E33" s="98">
        <f t="shared" si="0"/>
        <v>2.8258942147145047</v>
      </c>
      <c r="F33" s="189">
        <f>+IF(ISNUMBER(VLOOKUP($B33,'Cental Budget - hwy'!$B$16:$AQ$90,F$1,FALSE)),VLOOKUP($B33,'Cental Budget - hwy'!$B$16:$AQ$90,F$1,FALSE),0)+IF(ISNUMBER(VLOOKUP($B33,#REF!,F$1,FALSE)),VLOOKUP($B33,#REF!,F$1,FALSE),0)</f>
        <v>58512071.479999997</v>
      </c>
      <c r="G33" s="98">
        <f t="shared" si="1"/>
        <v>2.1828789957097556</v>
      </c>
      <c r="H33" s="189">
        <f>+IF(ISNUMBER(VLOOKUP($B33,'Cental Budget - hwy'!$B$16:$AQ$90,H$1,FALSE)),VLOOKUP($B33,'Cental Budget - hwy'!$B$16:$AQ$90,H$1,FALSE),0)+IF(ISNUMBER(VLOOKUP($B33,#REF!,H$1,FALSE)),VLOOKUP($B33,#REF!,H$1,FALSE),0)</f>
        <v>45480397.879999995</v>
      </c>
      <c r="I33" s="98">
        <f t="shared" si="2"/>
        <v>1.4739563741249675</v>
      </c>
      <c r="J33" s="189">
        <f>+IF(ISNUMBER(VLOOKUP($B33,'Cental Budget - hwy'!$B$16:$AQ$90,J$1,FALSE)),VLOOKUP($B33,'Cental Budget - hwy'!$B$16:$AQ$90,J$1,FALSE),0)+IF(ISNUMBER(VLOOKUP($B33,#REF!,J$1,FALSE)),VLOOKUP($B33,#REF!,J$1,FALSE),0)</f>
        <v>43622195.68</v>
      </c>
      <c r="K33" s="98">
        <f t="shared" si="3"/>
        <v>1.4633410157665214</v>
      </c>
      <c r="L33" s="189">
        <f>+IF(ISNUMBER(VLOOKUP($B33,'Cental Budget - hwy'!$B$16:$AQ$90,L$1,FALSE)),VLOOKUP($B33,'Cental Budget - hwy'!$B$16:$AQ$90,L$1,FALSE),0)+IF(ISNUMBER(VLOOKUP($B33,#REF!,L$1,FALSE)),VLOOKUP($B33,#REF!,L$1,FALSE),0)</f>
        <v>31858288.899999999</v>
      </c>
      <c r="M33" s="98">
        <f t="shared" si="4"/>
        <v>1.0263624001288658</v>
      </c>
      <c r="N33" s="189">
        <f>+IF(ISNUMBER(VLOOKUP($B33,'Cental Budget - hwy'!$B$16:$AQ$90,N$1,FALSE)),VLOOKUP($B33,'Cental Budget - hwy'!$B$16:$AQ$90,N$1,FALSE),0)+IF(ISNUMBER(VLOOKUP($B33,#REF!,N$1,FALSE)),VLOOKUP($B33,#REF!,N$1,FALSE),0)</f>
        <v>24777629.66</v>
      </c>
      <c r="O33" s="98">
        <f t="shared" si="5"/>
        <v>0.76616047186147185</v>
      </c>
      <c r="P33" s="189">
        <f>+IF(ISNUMBER(VLOOKUP($B33,'Cental Budget - hwy'!$B$16:$AQ$90,P$1,FALSE)),VLOOKUP($B33,'Cental Budget - hwy'!$B$16:$AQ$90,P$1,FALSE),0)+IF(ISNUMBER(VLOOKUP($B33,#REF!,P$1,FALSE)),VLOOKUP($B33,#REF!,P$1,FALSE),0)</f>
        <v>35120651.189999998</v>
      </c>
      <c r="Q33" s="98">
        <f t="shared" si="6"/>
        <v>1.1152953696411558</v>
      </c>
      <c r="R33" s="189">
        <f>+IF(ISNUMBER(VLOOKUP($B33,'Cental Budget - hwy'!$B$16:$AQ$90,R$1,FALSE)),VLOOKUP($B33,'Cental Budget - hwy'!$B$16:$AQ$90,R$1,FALSE),0)+IF(ISNUMBER(VLOOKUP($B33,#REF!,R$1,FALSE)),VLOOKUP($B33,#REF!,R$1,FALSE),0)</f>
        <v>33088194.540000003</v>
      </c>
      <c r="S33" s="98">
        <f t="shared" si="7"/>
        <v>0.99188372468223518</v>
      </c>
      <c r="T33" s="189">
        <f>+IF(ISNUMBER(VLOOKUP($B33,'Cental Budget - hwy'!$B$16:$AQ$90,T$1,FALSE)),VLOOKUP($B33,'Cental Budget - hwy'!$B$16:$AQ$90,T$1,FALSE),0)+IF(ISNUMBER(VLOOKUP($B33,#REF!,T$1,FALSE)),VLOOKUP($B33,#REF!,T$1,FALSE),0)</f>
        <v>31410770.914738216</v>
      </c>
      <c r="U33" s="98">
        <f t="shared" si="8"/>
        <v>0.89332677402013982</v>
      </c>
      <c r="V33" s="96">
        <f>+IF(ISNUMBER(VLOOKUP($B33,'Cental Budget - hwy'!$B$16:$AQ$90,V$1,FALSE)),VLOOKUP($B33,'Cental Budget - hwy'!$B$16:$AQ$90,V$1,FALSE),0)+IF(ISNUMBER(VLOOKUP($B33,#REF!,V$1,FALSE)),VLOOKUP($B33,#REF!,V$1,FALSE),0)</f>
        <v>0</v>
      </c>
      <c r="W33" s="96">
        <f>+IF(ISNUMBER(VLOOKUP($B33,'Cental Budget - hwy'!$B$16:$AQ$90,W$1,FALSE)),VLOOKUP($B33,'Cental Budget - hwy'!$B$16:$AQ$90,W$1,FALSE),0)+IF(ISNUMBER(VLOOKUP($B33,#REF!,W$1,FALSE)),VLOOKUP($B33,#REF!,W$1,FALSE),0)</f>
        <v>0</v>
      </c>
      <c r="X33" s="189">
        <f>+IF(ISNUMBER(VLOOKUP($B33,'Cental Budget - hwy'!$B$16:$AQ$90,X$1,FALSE)),VLOOKUP($B33,'Cental Budget - hwy'!$B$16:$AQ$90,X$1,FALSE),0)+IF(ISNUMBER(VLOOKUP($B33,#REF!,X$1,FALSE)),VLOOKUP($B33,#REF!,X$1,FALSE),0)</f>
        <v>0</v>
      </c>
      <c r="Y33" s="98">
        <f t="shared" si="9"/>
        <v>0</v>
      </c>
      <c r="Z33" s="189">
        <f>+IF(ISNUMBER(VLOOKUP($B33,'Cental Budget - hwy'!$B$16:$AQ$90,Z$1,FALSE)),VLOOKUP($B33,'Cental Budget - hwy'!$B$16:$AQ$90,Z$1,FALSE),0)+IF(ISNUMBER(VLOOKUP($B33,#REF!,Z$1,FALSE)),VLOOKUP($B33,#REF!,Z$1,FALSE),0)</f>
        <v>0</v>
      </c>
      <c r="AA33" s="98">
        <f t="shared" si="10"/>
        <v>0</v>
      </c>
      <c r="AB33" s="189">
        <f>+IF(ISNUMBER(VLOOKUP($B33,'Cental Budget - hwy'!$B$16:$AQ$90,AB$1,FALSE)),VLOOKUP($B33,'Cental Budget - hwy'!$B$16:$AQ$90,AB$1,FALSE),0)+IF(ISNUMBER(VLOOKUP($B33,#REF!,AB$1,FALSE)),VLOOKUP($B33,#REF!,AB$1,FALSE),0)</f>
        <v>0</v>
      </c>
      <c r="AC33" s="98">
        <f>+IF(ISNUMBER(VLOOKUP($B33,'Cental Budget - hwy'!$B$16:$AQ$90,AC$1,FALSE)),VLOOKUP($B33,'Cental Budget - hwy'!$B$16:$AQ$90,AC$1,FALSE),0)+IF(ISNUMBER(VLOOKUP($B33,#REF!,AC$1,FALSE)),VLOOKUP($B33,#REF!,AC$1,FALSE),0)</f>
        <v>0</v>
      </c>
      <c r="AD33" s="190">
        <f>+IF(ISNUMBER(VLOOKUP($B33,'Cental Budget - hwy'!$B$16:$AQ$90,AD$1,FALSE)),VLOOKUP($B33,'Cental Budget - hwy'!$B$16:$AQ$90,AD$1,FALSE),0)+IF(ISNUMBER(VLOOKUP($B33,#REF!,AD$1,FALSE)),VLOOKUP($B33,#REF!,AD$1,FALSE),0)</f>
        <v>0</v>
      </c>
      <c r="AE33" s="189">
        <f>+IF(ISNUMBER(VLOOKUP($B33,'Cental Budget - hwy'!$B$16:$AQ$90,AE$1,FALSE)),VLOOKUP($B33,'Cental Budget - hwy'!$B$16:$AQ$90,AE$1,FALSE),0)+IF(ISNUMBER(VLOOKUP($B33,#REF!,AE$1,FALSE)),VLOOKUP($B33,#REF!,AE$1,FALSE),0)</f>
        <v>0</v>
      </c>
      <c r="AF33" s="98">
        <f t="shared" si="11"/>
        <v>0</v>
      </c>
      <c r="AG33" s="189">
        <f>+IF(ISNUMBER(VLOOKUP($B33,'Cental Budget - hwy'!$B$16:$AQ$90,AG$1,FALSE)),VLOOKUP($B33,'Cental Budget - hwy'!$B$16:$AQ$90,AG$1,FALSE),0)+IF(ISNUMBER(VLOOKUP($B33,#REF!,AG$1,FALSE)),VLOOKUP($B33,#REF!,AG$1,FALSE),0)</f>
        <v>0</v>
      </c>
      <c r="AH33" s="98">
        <f>+IF(ISNUMBER(VLOOKUP($B33,'Cental Budget - hwy'!$B$16:$AQ$90,AH$1,FALSE)),VLOOKUP($B33,'Cental Budget - hwy'!$B$16:$AQ$90,AH$1,FALSE),0)+IF(ISNUMBER(VLOOKUP($B33,#REF!,AH$1,FALSE)),VLOOKUP($B33,#REF!,AH$1,FALSE),0)</f>
        <v>0</v>
      </c>
      <c r="AI33" s="190">
        <f>+IF(ISNUMBER(VLOOKUP($B33,'Cental Budget - hwy'!$B$16:$AQ$90,AI$1,FALSE)),VLOOKUP($B33,'Cental Budget - hwy'!$B$16:$AQ$90,AI$1,FALSE),0)+IF(ISNUMBER(VLOOKUP($B33,#REF!,AI$1,FALSE)),VLOOKUP($B33,#REF!,AI$1,FALSE),0)</f>
        <v>0</v>
      </c>
      <c r="AJ33" s="189">
        <f>+IF(ISNUMBER(VLOOKUP($B33,'Cental Budget - hwy'!$B$16:$AQ$90,AJ$1,FALSE)),VLOOKUP($B33,'Cental Budget - hwy'!$B$16:$AQ$90,AJ$1,FALSE),0)+IF(ISNUMBER(VLOOKUP($B33,#REF!,AJ$1,FALSE)),VLOOKUP($B33,#REF!,AJ$1,FALSE),0)</f>
        <v>0</v>
      </c>
      <c r="AK33" s="98">
        <f t="shared" si="12"/>
        <v>0</v>
      </c>
      <c r="AL33" s="189">
        <f>+IF(ISNUMBER(VLOOKUP($B33,'Cental Budget - hwy'!$B$16:$AQ$90,AL$1,FALSE)),VLOOKUP($B33,'Cental Budget - hwy'!$B$16:$AQ$90,AL$1,FALSE),0)+IF(ISNUMBER(VLOOKUP($B33,#REF!,AL$1,FALSE)),VLOOKUP($B33,#REF!,AL$1,FALSE),0)</f>
        <v>0</v>
      </c>
      <c r="AM33" s="98">
        <f t="shared" si="13"/>
        <v>0</v>
      </c>
      <c r="AO33" s="105"/>
      <c r="AP33" s="106"/>
      <c r="AQ33" s="106"/>
      <c r="AR33" s="106"/>
      <c r="AS33" s="106"/>
      <c r="AT33" s="107"/>
      <c r="AU33" s="81"/>
      <c r="AV33" s="81"/>
      <c r="AW33" s="81"/>
      <c r="AX33" s="81"/>
      <c r="AY33" s="81"/>
      <c r="AZ33" s="81"/>
      <c r="BA33" s="81"/>
      <c r="BB33" s="81"/>
      <c r="BC33" s="81"/>
      <c r="BD33" s="81"/>
      <c r="BE33" s="81"/>
      <c r="BF33" s="81"/>
      <c r="BG33" s="81"/>
      <c r="DS33" s="81"/>
      <c r="DT33" s="81"/>
      <c r="DU33" s="81"/>
      <c r="DV33" s="81"/>
      <c r="DW33" s="81"/>
    </row>
    <row r="34" spans="1:128" ht="13.5" thickBot="1">
      <c r="B34" s="80">
        <v>73</v>
      </c>
      <c r="C34" s="110" t="str">
        <f>IF(MasterSheet!$A$1=1,MasterSheet!C103,MasterSheet!B103)</f>
        <v>Primici od otplate kredita i sredstva prenijeta iz prethodne godine</v>
      </c>
      <c r="D34" s="189">
        <f>+IF(ISNUMBER(VLOOKUP($B34,'Cental Budget - hwy'!$B$16:$AQ$90,D$1,FALSE)),VLOOKUP($B34,'Cental Budget - hwy'!$B$16:$AQ$90,D$1,FALSE),0)+IF(ISNUMBER(VLOOKUP($B34,#REF!,D$1,FALSE)),VLOOKUP($B34,#REF!,D$1,FALSE),0)</f>
        <v>12337841.16</v>
      </c>
      <c r="E34" s="98">
        <f t="shared" si="0"/>
        <v>0.57414682674856898</v>
      </c>
      <c r="F34" s="189">
        <f>+IF(ISNUMBER(VLOOKUP($B34,'Cental Budget - hwy'!$B$16:$AQ$90,F$1,FALSE)),VLOOKUP($B34,'Cental Budget - hwy'!$B$16:$AQ$90,F$1,FALSE),0)+IF(ISNUMBER(VLOOKUP($B34,#REF!,F$1,FALSE)),VLOOKUP($B34,#REF!,F$1,FALSE),0)</f>
        <v>10241165.600000001</v>
      </c>
      <c r="G34" s="98">
        <f t="shared" si="1"/>
        <v>0.38206176459615748</v>
      </c>
      <c r="H34" s="189">
        <f>+IF(ISNUMBER(VLOOKUP($B34,'Cental Budget - hwy'!$B$16:$AQ$90,H$1,FALSE)),VLOOKUP($B34,'Cental Budget - hwy'!$B$16:$AQ$90,H$1,FALSE),0)+IF(ISNUMBER(VLOOKUP($B34,#REF!,H$1,FALSE)),VLOOKUP($B34,#REF!,H$1,FALSE),0)</f>
        <v>8998827.7799999993</v>
      </c>
      <c r="I34" s="98">
        <f t="shared" si="2"/>
        <v>0.29163947951775987</v>
      </c>
      <c r="J34" s="189">
        <f>+IF(ISNUMBER(VLOOKUP($B34,'Cental Budget - hwy'!$B$16:$AQ$90,J$1,FALSE)),VLOOKUP($B34,'Cental Budget - hwy'!$B$16:$AQ$90,J$1,FALSE),0)+IF(ISNUMBER(VLOOKUP($B34,#REF!,J$1,FALSE)),VLOOKUP($B34,#REF!,J$1,FALSE),0)</f>
        <v>54812548.920000002</v>
      </c>
      <c r="K34" s="98">
        <f t="shared" si="3"/>
        <v>1.83873025561892</v>
      </c>
      <c r="L34" s="189">
        <f>+IF(ISNUMBER(VLOOKUP($B34,'Cental Budget - hwy'!$B$16:$AQ$90,L$1,FALSE)),VLOOKUP($B34,'Cental Budget - hwy'!$B$16:$AQ$90,L$1,FALSE),0)+IF(ISNUMBER(VLOOKUP($B34,#REF!,L$1,FALSE)),VLOOKUP($B34,#REF!,L$1,FALSE),0)</f>
        <v>4969313.91</v>
      </c>
      <c r="M34" s="98">
        <f t="shared" si="4"/>
        <v>0.16009387596649485</v>
      </c>
      <c r="N34" s="189">
        <f>+IF(ISNUMBER(VLOOKUP($B34,'Cental Budget - hwy'!$B$16:$AQ$90,N$1,FALSE)),VLOOKUP($B34,'Cental Budget - hwy'!$B$16:$AQ$90,N$1,FALSE),0)+IF(ISNUMBER(VLOOKUP($B34,#REF!,N$1,FALSE)),VLOOKUP($B34,#REF!,N$1,FALSE),0)</f>
        <v>5006443.9800000004</v>
      </c>
      <c r="O34" s="98">
        <f t="shared" si="5"/>
        <v>0.15480655473098331</v>
      </c>
      <c r="P34" s="189">
        <f>+IF(ISNUMBER(VLOOKUP($B34,'Cental Budget - hwy'!$B$16:$AQ$90,P$1,FALSE)),VLOOKUP($B34,'Cental Budget - hwy'!$B$16:$AQ$90,P$1,FALSE),0)+IF(ISNUMBER(VLOOKUP($B34,#REF!,P$1,FALSE)),VLOOKUP($B34,#REF!,P$1,FALSE),0)</f>
        <v>5498802.5</v>
      </c>
      <c r="Q34" s="98">
        <f t="shared" si="6"/>
        <v>0.17462059383931408</v>
      </c>
      <c r="R34" s="189">
        <f>+IF(ISNUMBER(VLOOKUP($B34,'Cental Budget - hwy'!$B$16:$AQ$90,R$1,FALSE)),VLOOKUP($B34,'Cental Budget - hwy'!$B$16:$AQ$90,R$1,FALSE),0)+IF(ISNUMBER(VLOOKUP($B34,#REF!,R$1,FALSE)),VLOOKUP($B34,#REF!,R$1,FALSE),0)</f>
        <v>7564493.0600000005</v>
      </c>
      <c r="S34" s="98">
        <f t="shared" si="7"/>
        <v>0.22676056085850488</v>
      </c>
      <c r="T34" s="189">
        <f>+IF(ISNUMBER(VLOOKUP($B34,'Cental Budget - hwy'!$B$16:$AQ$90,T$1,FALSE)),VLOOKUP($B34,'Cental Budget - hwy'!$B$16:$AQ$90,T$1,FALSE),0)+IF(ISNUMBER(VLOOKUP($B34,#REF!,T$1,FALSE)),VLOOKUP($B34,#REF!,T$1,FALSE),0)</f>
        <v>7046262.4871663069</v>
      </c>
      <c r="U34" s="98">
        <f t="shared" si="8"/>
        <v>0.20039670320876826</v>
      </c>
      <c r="V34" s="96">
        <f>+IF(ISNUMBER(VLOOKUP($B34,'Cental Budget - hwy'!$B$16:$AQ$90,V$1,FALSE)),VLOOKUP($B34,'Cental Budget - hwy'!$B$16:$AQ$90,V$1,FALSE),0)+IF(ISNUMBER(VLOOKUP($B34,#REF!,V$1,FALSE)),VLOOKUP($B34,#REF!,V$1,FALSE),0)</f>
        <v>0</v>
      </c>
      <c r="W34" s="96">
        <f>+IF(ISNUMBER(VLOOKUP($B34,'Cental Budget - hwy'!$B$16:$AQ$90,W$1,FALSE)),VLOOKUP($B34,'Cental Budget - hwy'!$B$16:$AQ$90,W$1,FALSE),0)+IF(ISNUMBER(VLOOKUP($B34,#REF!,W$1,FALSE)),VLOOKUP($B34,#REF!,W$1,FALSE),0)</f>
        <v>0</v>
      </c>
      <c r="X34" s="189">
        <f>+IF(ISNUMBER(VLOOKUP($B34,'Cental Budget - hwy'!$B$16:$AQ$90,X$1,FALSE)),VLOOKUP($B34,'Cental Budget - hwy'!$B$16:$AQ$90,X$1,FALSE),0)+IF(ISNUMBER(VLOOKUP($B34,#REF!,X$1,FALSE)),VLOOKUP($B34,#REF!,X$1,FALSE),0)</f>
        <v>0</v>
      </c>
      <c r="Y34" s="98">
        <f t="shared" si="9"/>
        <v>0</v>
      </c>
      <c r="Z34" s="189">
        <f>+IF(ISNUMBER(VLOOKUP($B34,'Cental Budget - hwy'!$B$16:$AQ$90,Z$1,FALSE)),VLOOKUP($B34,'Cental Budget - hwy'!$B$16:$AQ$90,Z$1,FALSE),0)+IF(ISNUMBER(VLOOKUP($B34,#REF!,Z$1,FALSE)),VLOOKUP($B34,#REF!,Z$1,FALSE),0)</f>
        <v>0</v>
      </c>
      <c r="AA34" s="98">
        <f t="shared" si="10"/>
        <v>0</v>
      </c>
      <c r="AB34" s="189">
        <f>+IF(ISNUMBER(VLOOKUP($B34,'Cental Budget - hwy'!$B$16:$AQ$90,AB$1,FALSE)),VLOOKUP($B34,'Cental Budget - hwy'!$B$16:$AQ$90,AB$1,FALSE),0)+IF(ISNUMBER(VLOOKUP($B34,#REF!,AB$1,FALSE)),VLOOKUP($B34,#REF!,AB$1,FALSE),0)</f>
        <v>0</v>
      </c>
      <c r="AC34" s="98">
        <f>+IF(ISNUMBER(VLOOKUP($B34,'Cental Budget - hwy'!$B$16:$AQ$90,AC$1,FALSE)),VLOOKUP($B34,'Cental Budget - hwy'!$B$16:$AQ$90,AC$1,FALSE),0)+IF(ISNUMBER(VLOOKUP($B34,#REF!,AC$1,FALSE)),VLOOKUP($B34,#REF!,AC$1,FALSE),0)</f>
        <v>0</v>
      </c>
      <c r="AD34" s="190">
        <f>+IF(ISNUMBER(VLOOKUP($B34,'Cental Budget - hwy'!$B$16:$AQ$90,AD$1,FALSE)),VLOOKUP($B34,'Cental Budget - hwy'!$B$16:$AQ$90,AD$1,FALSE),0)+IF(ISNUMBER(VLOOKUP($B34,#REF!,AD$1,FALSE)),VLOOKUP($B34,#REF!,AD$1,FALSE),0)</f>
        <v>0</v>
      </c>
      <c r="AE34" s="189">
        <f>+IF(ISNUMBER(VLOOKUP($B34,'Cental Budget - hwy'!$B$16:$AQ$90,AE$1,FALSE)),VLOOKUP($B34,'Cental Budget - hwy'!$B$16:$AQ$90,AE$1,FALSE),0)+IF(ISNUMBER(VLOOKUP($B34,#REF!,AE$1,FALSE)),VLOOKUP($B34,#REF!,AE$1,FALSE),0)</f>
        <v>0</v>
      </c>
      <c r="AF34" s="98">
        <f t="shared" si="11"/>
        <v>0</v>
      </c>
      <c r="AG34" s="189">
        <f>+IF(ISNUMBER(VLOOKUP($B34,'Cental Budget - hwy'!$B$16:$AQ$90,AG$1,FALSE)),VLOOKUP($B34,'Cental Budget - hwy'!$B$16:$AQ$90,AG$1,FALSE),0)+IF(ISNUMBER(VLOOKUP($B34,#REF!,AG$1,FALSE)),VLOOKUP($B34,#REF!,AG$1,FALSE),0)</f>
        <v>0</v>
      </c>
      <c r="AH34" s="98">
        <f>+IF(ISNUMBER(VLOOKUP($B34,'Cental Budget - hwy'!$B$16:$AQ$90,AH$1,FALSE)),VLOOKUP($B34,'Cental Budget - hwy'!$B$16:$AQ$90,AH$1,FALSE),0)+IF(ISNUMBER(VLOOKUP($B34,#REF!,AH$1,FALSE)),VLOOKUP($B34,#REF!,AH$1,FALSE),0)</f>
        <v>0</v>
      </c>
      <c r="AI34" s="190">
        <f>+IF(ISNUMBER(VLOOKUP($B34,'Cental Budget - hwy'!$B$16:$AQ$90,AI$1,FALSE)),VLOOKUP($B34,'Cental Budget - hwy'!$B$16:$AQ$90,AI$1,FALSE),0)+IF(ISNUMBER(VLOOKUP($B34,#REF!,AI$1,FALSE)),VLOOKUP($B34,#REF!,AI$1,FALSE),0)</f>
        <v>0</v>
      </c>
      <c r="AJ34" s="189">
        <f>+IF(ISNUMBER(VLOOKUP($B34,'Cental Budget - hwy'!$B$16:$AQ$90,AJ$1,FALSE)),VLOOKUP($B34,'Cental Budget - hwy'!$B$16:$AQ$90,AJ$1,FALSE),0)+IF(ISNUMBER(VLOOKUP($B34,#REF!,AJ$1,FALSE)),VLOOKUP($B34,#REF!,AJ$1,FALSE),0)</f>
        <v>0</v>
      </c>
      <c r="AK34" s="98">
        <f t="shared" si="12"/>
        <v>0</v>
      </c>
      <c r="AL34" s="189">
        <f>+IF(ISNUMBER(VLOOKUP($B34,'Cental Budget - hwy'!$B$16:$AQ$90,AL$1,FALSE)),VLOOKUP($B34,'Cental Budget - hwy'!$B$16:$AQ$90,AL$1,FALSE),0)+IF(ISNUMBER(VLOOKUP($B34,#REF!,AL$1,FALSE)),VLOOKUP($B34,#REF!,AL$1,FALSE),0)</f>
        <v>0</v>
      </c>
      <c r="AM34" s="98">
        <f t="shared" si="13"/>
        <v>0</v>
      </c>
      <c r="AO34" s="105"/>
      <c r="AP34" s="106"/>
      <c r="AQ34" s="106"/>
      <c r="AR34" s="106"/>
      <c r="AS34" s="106"/>
      <c r="AT34" s="107"/>
      <c r="AU34" s="81"/>
      <c r="AV34" s="81"/>
      <c r="AW34" s="81"/>
      <c r="AX34" s="81"/>
      <c r="AY34" s="81"/>
      <c r="AZ34" s="81"/>
      <c r="BA34" s="81"/>
      <c r="BB34" s="81"/>
      <c r="BC34" s="81"/>
      <c r="BD34" s="81"/>
      <c r="BE34" s="81"/>
      <c r="BF34" s="81"/>
      <c r="BG34" s="81"/>
      <c r="DR34" s="105"/>
      <c r="DS34" s="105"/>
      <c r="DT34" s="102"/>
      <c r="DU34" s="176"/>
      <c r="DV34" s="176"/>
      <c r="DW34" s="176"/>
      <c r="DX34" s="175"/>
    </row>
    <row r="35" spans="1:128" ht="15" customHeight="1" thickTop="1" thickBot="1">
      <c r="B35" s="111"/>
      <c r="C35" s="234" t="str">
        <f>IF(MasterSheet!$A$1=1,MasterSheet!C104,MasterSheet!B104)</f>
        <v>Izdaci</v>
      </c>
      <c r="D35" s="225">
        <f>+D37+D48+D54+SUM(D57:D61)</f>
        <v>528291098.80999994</v>
      </c>
      <c r="E35" s="226">
        <f t="shared" si="0"/>
        <v>24.584257006375353</v>
      </c>
      <c r="F35" s="225">
        <f>+F37+F48+F54+SUM(F57:F61)</f>
        <v>652828575.38999999</v>
      </c>
      <c r="G35" s="226">
        <f t="shared" si="1"/>
        <v>24.354731407946279</v>
      </c>
      <c r="H35" s="225">
        <f>+H37+H48+H54+SUM(H57:H61)</f>
        <v>925492219.3499999</v>
      </c>
      <c r="I35" s="226">
        <f t="shared" si="2"/>
        <v>29.993914290575574</v>
      </c>
      <c r="J35" s="225">
        <f>+J37+J48+J54+SUM(J57:J61)</f>
        <v>859772731.86449993</v>
      </c>
      <c r="K35" s="226">
        <f t="shared" si="3"/>
        <v>28.841755513736999</v>
      </c>
      <c r="L35" s="225">
        <f>+L37+L48+L54+SUM(L57:L61)</f>
        <v>799651524.05000007</v>
      </c>
      <c r="M35" s="226">
        <f t="shared" si="4"/>
        <v>25.761969202641755</v>
      </c>
      <c r="N35" s="225">
        <f>+N37+N48+N54+SUM(N57:N61)</f>
        <v>834860542.39999998</v>
      </c>
      <c r="O35" s="226">
        <f t="shared" si="5"/>
        <v>25.81510644403216</v>
      </c>
      <c r="P35" s="225">
        <f>+P37+P48+P54+SUM(P57:P61)</f>
        <v>819131435.1500001</v>
      </c>
      <c r="Q35" s="226">
        <f t="shared" si="6"/>
        <v>26.012430458875833</v>
      </c>
      <c r="R35" s="225">
        <f>+R37+R48+R54+SUM(R57:R61)</f>
        <v>880499234.78291774</v>
      </c>
      <c r="S35" s="226">
        <f t="shared" si="7"/>
        <v>26.394696740571639</v>
      </c>
      <c r="T35" s="225">
        <f>+T37+T48+T54+SUM(T57:T61)</f>
        <v>839381670.8499999</v>
      </c>
      <c r="U35" s="226">
        <f t="shared" si="8"/>
        <v>23.872133613894611</v>
      </c>
      <c r="V35" s="235"/>
      <c r="W35" s="235"/>
      <c r="X35" s="225">
        <f>+X37+X48+X54+SUM(X57:X61)</f>
        <v>869534872.1099999</v>
      </c>
      <c r="Y35" s="226">
        <f t="shared" si="9"/>
        <v>24.729694928804488</v>
      </c>
      <c r="Z35" s="225">
        <f>+Z37+Z48+Z54+SUM(Z57:Z61)</f>
        <v>0</v>
      </c>
      <c r="AA35" s="226">
        <f t="shared" si="10"/>
        <v>0</v>
      </c>
      <c r="AB35" s="225">
        <f>+AB37+AB48+AB54+SUM(AB57:AB61)</f>
        <v>718545619.85404158</v>
      </c>
      <c r="AC35" s="226">
        <f>AB35/AB$11*100</f>
        <v>19.357335613948838</v>
      </c>
      <c r="AD35" s="235"/>
      <c r="AE35" s="225">
        <f>+AE37+AE48+AE54+SUM(AE57:AE61)</f>
        <v>977926941.85293674</v>
      </c>
      <c r="AF35" s="226">
        <f t="shared" si="11"/>
        <v>26.344966132025405</v>
      </c>
      <c r="AG35" s="225">
        <f>+AG37+AG48+AG54+SUM(AG57:AG61)</f>
        <v>734767334.85117865</v>
      </c>
      <c r="AH35" s="226">
        <f>AG35/AG$11*100</f>
        <v>18.695778286241627</v>
      </c>
      <c r="AI35" s="235"/>
      <c r="AJ35" s="225" t="e">
        <f>+AJ37+AJ48+AJ54+SUM(AJ57:AJ61)</f>
        <v>#REF!</v>
      </c>
      <c r="AK35" s="226" t="e">
        <f t="shared" si="12"/>
        <v>#REF!</v>
      </c>
      <c r="AL35" s="225" t="e">
        <f>+AL37+AL48+AL54+SUM(AL57:AL61)</f>
        <v>#REF!</v>
      </c>
      <c r="AM35" s="226" t="e">
        <f t="shared" si="13"/>
        <v>#REF!</v>
      </c>
      <c r="AO35" s="177">
        <f>+T35+9000000</f>
        <v>848381670.8499999</v>
      </c>
      <c r="AP35" s="246" t="e">
        <f>+X35-#REF!</f>
        <v>#REF!</v>
      </c>
      <c r="AQ35" s="246" t="e">
        <f>+AE35-#REF!</f>
        <v>#REF!</v>
      </c>
      <c r="AR35" s="246" t="e">
        <f>+AJ35-#REF!</f>
        <v>#REF!</v>
      </c>
      <c r="AS35" s="246" t="e">
        <f>+AL35-#REF!</f>
        <v>#REF!</v>
      </c>
      <c r="AT35" s="107"/>
      <c r="AU35" s="81"/>
      <c r="AV35" s="81"/>
      <c r="AW35" s="81"/>
      <c r="AX35" s="81"/>
      <c r="AY35" s="81"/>
      <c r="AZ35" s="81"/>
      <c r="BA35" s="81"/>
      <c r="BB35" s="81"/>
      <c r="BC35" s="81"/>
      <c r="BD35" s="81"/>
      <c r="BE35" s="81"/>
      <c r="BF35" s="81"/>
      <c r="BG35" s="81"/>
      <c r="DS35" s="81"/>
      <c r="DT35" s="81"/>
      <c r="DU35" s="176"/>
      <c r="DV35" s="176"/>
      <c r="DW35" s="176"/>
      <c r="DX35" s="175"/>
    </row>
    <row r="36" spans="1:128" ht="13.5" customHeight="1" thickTop="1" thickBot="1">
      <c r="C36" s="234" t="str">
        <f>IF(MasterSheet!$A$1=1,MasterSheet!C105,MasterSheet!B105)</f>
        <v>Tekuća budžetska potrošnja</v>
      </c>
      <c r="D36" s="225">
        <f>+D35-D57</f>
        <v>528291098.80999994</v>
      </c>
      <c r="E36" s="226">
        <f t="shared" si="0"/>
        <v>24.584257006375353</v>
      </c>
      <c r="F36" s="225">
        <f>+F35-F57</f>
        <v>570369336.39999998</v>
      </c>
      <c r="G36" s="226">
        <f t="shared" si="1"/>
        <v>21.278468061928741</v>
      </c>
      <c r="H36" s="225">
        <f>+H35-H57</f>
        <v>852121359.88999987</v>
      </c>
      <c r="I36" s="226">
        <f t="shared" si="2"/>
        <v>27.616066887801395</v>
      </c>
      <c r="J36" s="225">
        <f>+J35-J57</f>
        <v>747408035.22449994</v>
      </c>
      <c r="K36" s="226">
        <f t="shared" si="3"/>
        <v>25.07239299646092</v>
      </c>
      <c r="L36" s="225">
        <f>+L35-L57</f>
        <v>736401155.24000001</v>
      </c>
      <c r="M36" s="226">
        <f t="shared" si="4"/>
        <v>23.724264021907217</v>
      </c>
      <c r="N36" s="225">
        <f>+N35-N57</f>
        <v>767745354.42999995</v>
      </c>
      <c r="O36" s="226">
        <f t="shared" si="5"/>
        <v>23.739806877860232</v>
      </c>
      <c r="P36" s="225">
        <f>+P35-P57</f>
        <v>743088735.17000008</v>
      </c>
      <c r="Q36" s="226">
        <f t="shared" si="6"/>
        <v>23.597609881549701</v>
      </c>
      <c r="R36" s="225">
        <f>+R35-R57</f>
        <v>818713731.92291772</v>
      </c>
      <c r="S36" s="226">
        <f t="shared" si="7"/>
        <v>24.542554743701544</v>
      </c>
      <c r="T36" s="225">
        <f>+T35-T57</f>
        <v>737561170.8499999</v>
      </c>
      <c r="U36" s="226">
        <f t="shared" si="8"/>
        <v>20.976344171444509</v>
      </c>
      <c r="V36" s="235"/>
      <c r="W36" s="235"/>
      <c r="X36" s="225">
        <f>+X35-X57</f>
        <v>742714372.1099999</v>
      </c>
      <c r="Y36" s="226">
        <f t="shared" si="9"/>
        <v>21.122901945208422</v>
      </c>
      <c r="Z36" s="225">
        <f>+Z35-Z57</f>
        <v>0</v>
      </c>
      <c r="AA36" s="226">
        <f t="shared" si="10"/>
        <v>0</v>
      </c>
      <c r="AB36" s="225">
        <f>+AB35-AB57</f>
        <v>612919242.36224151</v>
      </c>
      <c r="AC36" s="226">
        <f>AB36/AB$11*100</f>
        <v>16.511802661970428</v>
      </c>
      <c r="AD36" s="235"/>
      <c r="AE36" s="225">
        <f>+AE35-AE57</f>
        <v>747926941.85293674</v>
      </c>
      <c r="AF36" s="226">
        <f t="shared" si="11"/>
        <v>20.148856840993044</v>
      </c>
      <c r="AG36" s="225">
        <f>+AG35-AG57</f>
        <v>625972166.03462458</v>
      </c>
      <c r="AH36" s="226">
        <f>AG36/AG$11*100</f>
        <v>15.92754097038368</v>
      </c>
      <c r="AI36" s="235"/>
      <c r="AJ36" s="225" t="e">
        <f>+AJ35-AJ57</f>
        <v>#REF!</v>
      </c>
      <c r="AK36" s="226" t="e">
        <f t="shared" si="12"/>
        <v>#REF!</v>
      </c>
      <c r="AL36" s="225" t="e">
        <f>+AL35-AL57</f>
        <v>#REF!</v>
      </c>
      <c r="AM36" s="226" t="e">
        <f t="shared" si="13"/>
        <v>#REF!</v>
      </c>
      <c r="AO36" s="105"/>
      <c r="AP36" s="106"/>
      <c r="AQ36" s="106"/>
      <c r="AR36" s="106"/>
      <c r="AS36" s="106"/>
      <c r="AT36" s="107"/>
      <c r="AU36" s="81"/>
      <c r="AV36" s="81"/>
      <c r="AW36" s="81"/>
      <c r="AX36" s="81"/>
      <c r="AY36" s="81"/>
      <c r="AZ36" s="81"/>
      <c r="BA36" s="81"/>
      <c r="BB36" s="81"/>
      <c r="BC36" s="81"/>
      <c r="BD36" s="81"/>
      <c r="BE36" s="81"/>
      <c r="BF36" s="81"/>
      <c r="BG36" s="81"/>
      <c r="DS36" s="198"/>
      <c r="DT36" s="198"/>
      <c r="DU36" s="176"/>
      <c r="DV36" s="176"/>
      <c r="DW36" s="176"/>
      <c r="DX36" s="175"/>
    </row>
    <row r="37" spans="1:128" ht="13.5" customHeight="1" thickTop="1">
      <c r="A37" s="80">
        <v>41</v>
      </c>
      <c r="C37" s="94" t="s">
        <v>63</v>
      </c>
      <c r="D37" s="95">
        <f>+SUM(D38:D47)</f>
        <v>436259421.94</v>
      </c>
      <c r="E37" s="98">
        <f t="shared" si="0"/>
        <v>20.30152272976872</v>
      </c>
      <c r="F37" s="95">
        <f>+SUM(F38:F47)</f>
        <v>494161800.55000001</v>
      </c>
      <c r="G37" s="98">
        <f t="shared" si="1"/>
        <v>18.435433708263385</v>
      </c>
      <c r="H37" s="95">
        <f>+SUM(H38:H47)</f>
        <v>563429464.71999991</v>
      </c>
      <c r="I37" s="98">
        <f t="shared" si="2"/>
        <v>18.259964503500125</v>
      </c>
      <c r="J37" s="95">
        <f>+SUM(J38:J47)</f>
        <v>512411835.38449985</v>
      </c>
      <c r="K37" s="98">
        <f t="shared" si="3"/>
        <v>17.189259825041926</v>
      </c>
      <c r="L37" s="95">
        <f>+SUM(L38:L47)</f>
        <v>545097642.16000009</v>
      </c>
      <c r="M37" s="98">
        <f t="shared" si="4"/>
        <v>17.561135378865984</v>
      </c>
      <c r="N37" s="95">
        <f>+SUM(N38:N47)</f>
        <v>632034765.51999998</v>
      </c>
      <c r="O37" s="98">
        <f t="shared" si="5"/>
        <v>19.543437400123686</v>
      </c>
      <c r="P37" s="95">
        <f>+SUM(P38:P47)</f>
        <v>667002984.10000014</v>
      </c>
      <c r="Q37" s="98">
        <f t="shared" si="6"/>
        <v>21.181422168942525</v>
      </c>
      <c r="R37" s="95">
        <f>+SUM(R38:R47)</f>
        <v>600287648.01291776</v>
      </c>
      <c r="S37" s="98">
        <f t="shared" si="7"/>
        <v>17.994803175857761</v>
      </c>
      <c r="T37" s="95">
        <f>+SUM(T38:T47)</f>
        <v>625526473.45999992</v>
      </c>
      <c r="U37" s="98">
        <f t="shared" si="8"/>
        <v>17.790061508424255</v>
      </c>
      <c r="V37" s="190"/>
      <c r="W37" s="190"/>
      <c r="X37" s="95">
        <f>+SUM(X38:X47)</f>
        <v>625526473.45999992</v>
      </c>
      <c r="Y37" s="98">
        <f t="shared" si="9"/>
        <v>17.790061508424255</v>
      </c>
      <c r="Z37" s="95">
        <f>+SUM(Z38:Z47)</f>
        <v>0</v>
      </c>
      <c r="AA37" s="98">
        <f t="shared" si="10"/>
        <v>0</v>
      </c>
      <c r="AB37" s="95">
        <f>+SUM(AB38:AB46)</f>
        <v>595842440.03666019</v>
      </c>
      <c r="AC37" s="98">
        <f>AB37/AB$11*100</f>
        <v>16.051760342184963</v>
      </c>
      <c r="AD37" s="190"/>
      <c r="AE37" s="95">
        <f>+SUM(AE38:AE47)</f>
        <v>631911316.15473676</v>
      </c>
      <c r="AF37" s="98">
        <f t="shared" si="11"/>
        <v>17.023441639716744</v>
      </c>
      <c r="AG37" s="95">
        <f>+SUM(AG38:AG46)</f>
        <v>608690098.36291015</v>
      </c>
      <c r="AH37" s="98">
        <f>AG37/AG$11*100</f>
        <v>15.4878076150847</v>
      </c>
      <c r="AI37" s="190"/>
      <c r="AJ37" s="95">
        <f>+SUM(AJ38:AJ47)</f>
        <v>623902066.64612997</v>
      </c>
      <c r="AK37" s="98">
        <f t="shared" si="12"/>
        <v>15.874868352315241</v>
      </c>
      <c r="AL37" s="95">
        <f>+SUM(AL38:AL47)</f>
        <v>619769489.24437904</v>
      </c>
      <c r="AM37" s="98">
        <f t="shared" si="13"/>
        <v>14.865872019386819</v>
      </c>
      <c r="AO37" s="105"/>
      <c r="AP37" s="106"/>
      <c r="AQ37" s="106"/>
      <c r="AR37" s="106"/>
      <c r="AS37" s="106"/>
      <c r="AT37" s="107"/>
      <c r="AU37" s="81"/>
      <c r="AV37" s="81"/>
      <c r="AW37" s="81"/>
      <c r="AX37" s="81"/>
      <c r="AY37" s="81"/>
      <c r="AZ37" s="81"/>
      <c r="BA37" s="81"/>
      <c r="BB37" s="81"/>
      <c r="BC37" s="81"/>
      <c r="BD37" s="81"/>
      <c r="BE37" s="81"/>
      <c r="BF37" s="81"/>
      <c r="BG37" s="81"/>
      <c r="DS37" s="198"/>
      <c r="DT37" s="198"/>
      <c r="DU37" s="176"/>
      <c r="DV37" s="176"/>
      <c r="DW37" s="176"/>
      <c r="DX37" s="175"/>
    </row>
    <row r="38" spans="1:128" ht="13.5" customHeight="1">
      <c r="B38" s="80">
        <v>411</v>
      </c>
      <c r="C38" s="94" t="s">
        <v>64</v>
      </c>
      <c r="D38" s="189">
        <f>+IF(ISNUMBER(VLOOKUP($B38,'Cental Budget - hwy'!$B$16:$AQ$90,D$1,FALSE)),VLOOKUP($B38,'Cental Budget - hwy'!$B$16:$AQ$90,D$1,FALSE),0)+IF(ISNUMBER(VLOOKUP($B38,#REF!,D$1,FALSE)),VLOOKUP($B38,#REF!,D$1,FALSE),0)</f>
        <v>211619268.66999999</v>
      </c>
      <c r="E38" s="98">
        <f t="shared" si="0"/>
        <v>9.8477950891153601</v>
      </c>
      <c r="F38" s="189">
        <f>+IF(ISNUMBER(VLOOKUP($B38,'Cental Budget - hwy'!$B$16:$AQ$90,F$1,FALSE)),VLOOKUP($B38,'Cental Budget - hwy'!$B$16:$AQ$90,F$1,FALSE),0)+IF(ISNUMBER(VLOOKUP($B38,#REF!,F$1,FALSE)),VLOOKUP($B38,#REF!,F$1,FALSE),0)</f>
        <v>256098289.82000002</v>
      </c>
      <c r="G38" s="98">
        <f t="shared" si="1"/>
        <v>9.5541238507741095</v>
      </c>
      <c r="H38" s="189">
        <f>+IF(ISNUMBER(VLOOKUP($B38,'Cental Budget - hwy'!$B$16:$AQ$90,H$1,FALSE)),VLOOKUP($B38,'Cental Budget - hwy'!$B$16:$AQ$90,H$1,FALSE),0)+IF(ISNUMBER(VLOOKUP($B38,#REF!,H$1,FALSE)),VLOOKUP($B38,#REF!,H$1,FALSE),0)</f>
        <v>274699863.13999999</v>
      </c>
      <c r="I38" s="98">
        <f t="shared" si="2"/>
        <v>8.9026401069484056</v>
      </c>
      <c r="J38" s="189">
        <f>+IF(ISNUMBER(VLOOKUP($B38,'Cental Budget - hwy'!$B$16:$AQ$90,J$1,FALSE)),VLOOKUP($B38,'Cental Budget - hwy'!$B$16:$AQ$90,J$1,FALSE),0)+IF(ISNUMBER(VLOOKUP($B38,#REF!,J$1,FALSE)),VLOOKUP($B38,#REF!,J$1,FALSE),0)</f>
        <v>259160937.78449979</v>
      </c>
      <c r="K38" s="98">
        <f t="shared" si="3"/>
        <v>8.6937583959912725</v>
      </c>
      <c r="L38" s="189">
        <f>+IF(ISNUMBER(VLOOKUP($B38,'Cental Budget - hwy'!$B$16:$AQ$90,L$1,FALSE)),VLOOKUP($B38,'Cental Budget - hwy'!$B$16:$AQ$90,L$1,FALSE),0)+IF(ISNUMBER(VLOOKUP($B38,#REF!,L$1,FALSE)),VLOOKUP($B38,#REF!,L$1,FALSE),0)</f>
        <v>283662646.70999998</v>
      </c>
      <c r="M38" s="98">
        <f t="shared" si="4"/>
        <v>9.138616195554123</v>
      </c>
      <c r="N38" s="189">
        <f>+IF(ISNUMBER(VLOOKUP($B38,'Cental Budget - hwy'!$B$16:$AQ$90,N$1,FALSE)),VLOOKUP($B38,'Cental Budget - hwy'!$B$16:$AQ$90,N$1,FALSE),0)+IF(ISNUMBER(VLOOKUP($B38,#REF!,N$1,FALSE)),VLOOKUP($B38,#REF!,N$1,FALSE),0)</f>
        <v>371258246.90999997</v>
      </c>
      <c r="O38" s="98">
        <f t="shared" si="5"/>
        <v>11.479846843228199</v>
      </c>
      <c r="P38" s="189">
        <f>+IF(ISNUMBER(VLOOKUP($B38,'Cental Budget - hwy'!$B$16:$AQ$90,P$1,FALSE)),VLOOKUP($B38,'Cental Budget - hwy'!$B$16:$AQ$90,P$1,FALSE),0)+IF(ISNUMBER(VLOOKUP($B38,#REF!,P$1,FALSE)),VLOOKUP($B38,#REF!,P$1,FALSE),0)</f>
        <v>374653307.63</v>
      </c>
      <c r="Q38" s="98">
        <f t="shared" si="6"/>
        <v>11.897532792315021</v>
      </c>
      <c r="R38" s="189">
        <f>+IF(ISNUMBER(VLOOKUP($B38,'Cental Budget - hwy'!$B$16:$AQ$90,R$1,FALSE)),VLOOKUP($B38,'Cental Budget - hwy'!$B$16:$AQ$90,R$1,FALSE),0)+IF(ISNUMBER(VLOOKUP($B38,#REF!,R$1,FALSE)),VLOOKUP($B38,#REF!,R$1,FALSE),0)</f>
        <v>366128508.17291778</v>
      </c>
      <c r="S38" s="98">
        <f t="shared" si="7"/>
        <v>10.975422305375018</v>
      </c>
      <c r="T38" s="189">
        <f>+IF(ISNUMBER(VLOOKUP($B38,'Cental Budget - hwy'!$B$16:$AQ$90,T$1,FALSE)),VLOOKUP($B38,'Cental Budget - hwy'!$B$16:$AQ$90,T$1,FALSE),0)+IF(ISNUMBER(VLOOKUP($B38,#REF!,T$1,FALSE)),VLOOKUP($B38,#REF!,T$1,FALSE),0)</f>
        <v>386488693.71999997</v>
      </c>
      <c r="U38" s="98">
        <f t="shared" si="8"/>
        <v>10.991793193911903</v>
      </c>
      <c r="V38" s="190">
        <f>+IF(ISNUMBER(VLOOKUP($B38,'Cental Budget - hwy'!$B$16:$AQ$90,V$1,FALSE)),VLOOKUP($B38,'Cental Budget - hwy'!$B$16:$AQ$90,V$1,FALSE),0)+IF(ISNUMBER(VLOOKUP($B38,#REF!,V$1,FALSE)),VLOOKUP($B38,#REF!,V$1,FALSE),0)</f>
        <v>0</v>
      </c>
      <c r="W38" s="190">
        <f>+IF(ISNUMBER(VLOOKUP($B38,'Cental Budget - hwy'!$B$16:$AQ$90,W$1,FALSE)),VLOOKUP($B38,'Cental Budget - hwy'!$B$16:$AQ$90,W$1,FALSE),0)+IF(ISNUMBER(VLOOKUP($B38,#REF!,W$1,FALSE)),VLOOKUP($B38,#REF!,W$1,FALSE),0)</f>
        <v>0</v>
      </c>
      <c r="X38" s="189">
        <f>+IF(ISNUMBER(VLOOKUP($B38,'Cental Budget - hwy'!$B$16:$AQ$90,X$1,FALSE)),VLOOKUP($B38,'Cental Budget - hwy'!$B$16:$AQ$90,X$1,FALSE),0)+IF(ISNUMBER(VLOOKUP($B38,#REF!,X$1,FALSE)),VLOOKUP($B38,#REF!,X$1,FALSE),0)</f>
        <v>386488693.71999997</v>
      </c>
      <c r="Y38" s="98">
        <f t="shared" si="9"/>
        <v>10.991793193911903</v>
      </c>
      <c r="Z38" s="189">
        <f>+IF(ISNUMBER(VLOOKUP($B38,'Cental Budget - hwy'!$B$16:$AQ$90,Z$1,FALSE)),VLOOKUP($B38,'Cental Budget - hwy'!$B$16:$AQ$90,Z$1,FALSE),0)+IF(ISNUMBER(VLOOKUP($B38,#REF!,Z$1,FALSE)),VLOOKUP($B38,#REF!,Z$1,FALSE),0)</f>
        <v>0</v>
      </c>
      <c r="AA38" s="98">
        <f t="shared" si="10"/>
        <v>0</v>
      </c>
      <c r="AB38" s="189">
        <f>+IF(ISNUMBER(VLOOKUP($B38,'Cental Budget - hwy'!$B$16:$AQ$90,AB$1,FALSE)),VLOOKUP($B38,'Cental Budget - hwy'!$B$16:$AQ$90,AB$1,FALSE),0)+IF(ISNUMBER(VLOOKUP($B38,#REF!,AB$1,FALSE)),VLOOKUP($B38,#REF!,AB$1,FALSE),0)</f>
        <v>387010899.19919997</v>
      </c>
      <c r="AC38" s="98">
        <f>+IF(ISNUMBER(VLOOKUP($B38,'Cental Budget - hwy'!$B$16:$AQ$90,AC$1,FALSE)),VLOOKUP($B38,'Cental Budget - hwy'!$B$16:$AQ$90,AC$1,FALSE),0)+IF(ISNUMBER(VLOOKUP($B38,#REF!,AC$1,FALSE)),VLOOKUP($B38,#REF!,AC$1,FALSE),0)</f>
        <v>10.425920992430221</v>
      </c>
      <c r="AD38" s="190">
        <f>+IF(ISNUMBER(VLOOKUP($B38,'Cental Budget - hwy'!$B$16:$AQ$90,AD$1,FALSE)),VLOOKUP($B38,'Cental Budget - hwy'!$B$16:$AQ$90,AD$1,FALSE),0)+IF(ISNUMBER(VLOOKUP($B38,#REF!,AD$1,FALSE)),VLOOKUP($B38,#REF!,AD$1,FALSE),0)</f>
        <v>0</v>
      </c>
      <c r="AE38" s="189">
        <f>+IF(ISNUMBER(VLOOKUP($B38,'Cental Budget - hwy'!$B$16:$AQ$90,AE$1,FALSE)),VLOOKUP($B38,'Cental Budget - hwy'!$B$16:$AQ$90,AE$1,FALSE),0)+IF(ISNUMBER(VLOOKUP($B38,#REF!,AE$1,FALSE)),VLOOKUP($B38,#REF!,AE$1,FALSE),0)</f>
        <v>394218467.59439999</v>
      </c>
      <c r="AF38" s="98">
        <f t="shared" si="11"/>
        <v>10.620090042426959</v>
      </c>
      <c r="AG38" s="189">
        <f>+IF(ISNUMBER(VLOOKUP($B38,'Cental Budget - hwy'!$B$16:$AQ$90,AG$1,FALSE)),VLOOKUP($B38,'Cental Budget - hwy'!$B$16:$AQ$90,AG$1,FALSE),0)+IF(ISNUMBER(VLOOKUP($B38,#REF!,AG$1,FALSE)),VLOOKUP($B38,#REF!,AG$1,FALSE),0)</f>
        <v>388945953.69519585</v>
      </c>
      <c r="AH38" s="98">
        <f>+IF(ISNUMBER(VLOOKUP($B38,'Cental Budget - hwy'!$B$16:$AQ$90,AH$1,FALSE)),VLOOKUP($B38,'Cental Budget - hwy'!$B$16:$AQ$90,AH$1,FALSE),0)+IF(ISNUMBER(VLOOKUP($B38,#REF!,AH$1,FALSE)),VLOOKUP($B38,#REF!,AH$1,FALSE),0)</f>
        <v>9.8965304671430427</v>
      </c>
      <c r="AI38" s="190">
        <f>+IF(ISNUMBER(VLOOKUP($B38,'Cental Budget - hwy'!$B$16:$AQ$90,AI$1,FALSE)),VLOOKUP($B38,'Cental Budget - hwy'!$B$16:$AQ$90,AI$1,FALSE),0)+IF(ISNUMBER(VLOOKUP($B38,#REF!,AI$1,FALSE)),VLOOKUP($B38,#REF!,AI$1,FALSE),0)</f>
        <v>0</v>
      </c>
      <c r="AJ38" s="189">
        <f>+IF(ISNUMBER(VLOOKUP($B38,'Cental Budget - hwy'!$B$16:$AQ$90,AJ$1,FALSE)),VLOOKUP($B38,'Cental Budget - hwy'!$B$16:$AQ$90,AJ$1,FALSE),0)+IF(ISNUMBER(VLOOKUP($B38,#REF!,AJ$1,FALSE)),VLOOKUP($B38,#REF!,AJ$1,FALSE),0)</f>
        <v>396189559.93237197</v>
      </c>
      <c r="AK38" s="98">
        <f t="shared" si="12"/>
        <v>10.080840315689196</v>
      </c>
      <c r="AL38" s="189">
        <f>+IF(ISNUMBER(VLOOKUP($B38,'Cental Budget - hwy'!$B$16:$AQ$90,AL$1,FALSE)),VLOOKUP($B38,'Cental Budget - hwy'!$B$16:$AQ$90,AL$1,FALSE),0)+IF(ISNUMBER(VLOOKUP($B38,#REF!,AL$1,FALSE)),VLOOKUP($B38,#REF!,AL$1,FALSE),0)</f>
        <v>398170507.73203379</v>
      </c>
      <c r="AM38" s="98">
        <f t="shared" si="13"/>
        <v>9.5505698692191103</v>
      </c>
      <c r="AO38" s="105"/>
      <c r="AP38" s="106"/>
      <c r="AQ38" s="106"/>
      <c r="AR38" s="106"/>
      <c r="AS38" s="106"/>
      <c r="AT38" s="107"/>
      <c r="AU38" s="81"/>
      <c r="AV38" s="81"/>
      <c r="AW38" s="81"/>
      <c r="AX38" s="81"/>
      <c r="AY38" s="81"/>
      <c r="AZ38" s="81"/>
      <c r="BA38" s="81"/>
      <c r="BB38" s="81"/>
      <c r="BC38" s="81"/>
      <c r="BD38" s="81"/>
      <c r="BE38" s="81"/>
      <c r="BF38" s="81"/>
      <c r="BG38" s="81"/>
      <c r="DS38" s="198"/>
      <c r="DT38" s="198"/>
      <c r="DU38" s="176"/>
      <c r="DV38" s="176"/>
      <c r="DW38" s="176"/>
      <c r="DX38" s="175"/>
    </row>
    <row r="39" spans="1:128" ht="13.5" customHeight="1">
      <c r="B39" s="80">
        <v>412</v>
      </c>
      <c r="C39" s="94" t="s">
        <v>75</v>
      </c>
      <c r="D39" s="189">
        <f>+IF(ISNUMBER(VLOOKUP($B39,'Cental Budget - hwy'!$B$16:$AQ$90,D$1,FALSE)),VLOOKUP($B39,'Cental Budget - hwy'!$B$16:$AQ$90,D$1,FALSE),0)+IF(ISNUMBER(VLOOKUP($B39,#REF!,D$1,FALSE)),VLOOKUP($B39,#REF!,D$1,FALSE),0)</f>
        <v>15461447.869999999</v>
      </c>
      <c r="E39" s="98">
        <f t="shared" si="0"/>
        <v>0.71950522918702586</v>
      </c>
      <c r="F39" s="189">
        <f>+IF(ISNUMBER(VLOOKUP($B39,'Cental Budget - hwy'!$B$16:$AQ$90,F$1,FALSE)),VLOOKUP($B39,'Cental Budget - hwy'!$B$16:$AQ$90,F$1,FALSE),0)+IF(ISNUMBER(VLOOKUP($B39,#REF!,F$1,FALSE)),VLOOKUP($B39,#REF!,F$1,FALSE),0)</f>
        <v>27511729.489999998</v>
      </c>
      <c r="G39" s="98">
        <f t="shared" si="1"/>
        <v>1.0263655844058945</v>
      </c>
      <c r="H39" s="189">
        <f>+IF(ISNUMBER(VLOOKUP($B39,'Cental Budget - hwy'!$B$16:$AQ$90,H$1,FALSE)),VLOOKUP($B39,'Cental Budget - hwy'!$B$16:$AQ$90,H$1,FALSE),0)+IF(ISNUMBER(VLOOKUP($B39,#REF!,H$1,FALSE)),VLOOKUP($B39,#REF!,H$1,FALSE),0)</f>
        <v>21753186.010000002</v>
      </c>
      <c r="I39" s="98">
        <f t="shared" si="2"/>
        <v>0.7049904721934146</v>
      </c>
      <c r="J39" s="189">
        <f>+IF(ISNUMBER(VLOOKUP($B39,'Cental Budget - hwy'!$B$16:$AQ$90,J$1,FALSE)),VLOOKUP($B39,'Cental Budget - hwy'!$B$16:$AQ$90,J$1,FALSE),0)+IF(ISNUMBER(VLOOKUP($B39,#REF!,J$1,FALSE)),VLOOKUP($B39,#REF!,J$1,FALSE),0)</f>
        <v>21646046.59</v>
      </c>
      <c r="K39" s="98">
        <f t="shared" si="3"/>
        <v>0.72613373331096953</v>
      </c>
      <c r="L39" s="189">
        <f>+IF(ISNUMBER(VLOOKUP($B39,'Cental Budget - hwy'!$B$16:$AQ$90,L$1,FALSE)),VLOOKUP($B39,'Cental Budget - hwy'!$B$16:$AQ$90,L$1,FALSE),0)+IF(ISNUMBER(VLOOKUP($B39,#REF!,L$1,FALSE)),VLOOKUP($B39,#REF!,L$1,FALSE),0)</f>
        <v>18835767.040000003</v>
      </c>
      <c r="M39" s="98">
        <f t="shared" si="4"/>
        <v>0.60682239175257746</v>
      </c>
      <c r="N39" s="189">
        <f>+IF(ISNUMBER(VLOOKUP($B39,'Cental Budget - hwy'!$B$16:$AQ$90,N$1,FALSE)),VLOOKUP($B39,'Cental Budget - hwy'!$B$16:$AQ$90,N$1,FALSE),0)+IF(ISNUMBER(VLOOKUP($B39,#REF!,N$1,FALSE)),VLOOKUP($B39,#REF!,N$1,FALSE),0)</f>
        <v>12829673.57</v>
      </c>
      <c r="O39" s="98">
        <f t="shared" si="5"/>
        <v>0.39671223160173164</v>
      </c>
      <c r="P39" s="189">
        <f>+IF(ISNUMBER(VLOOKUP($B39,'Cental Budget - hwy'!$B$16:$AQ$90,P$1,FALSE)),VLOOKUP($B39,'Cental Budget - hwy'!$B$16:$AQ$90,P$1,FALSE),0)+IF(ISNUMBER(VLOOKUP($B39,#REF!,P$1,FALSE)),VLOOKUP($B39,#REF!,P$1,FALSE),0)</f>
        <v>10336327.24</v>
      </c>
      <c r="Q39" s="98">
        <f t="shared" si="6"/>
        <v>0.32824157637345192</v>
      </c>
      <c r="R39" s="189">
        <f>+IF(ISNUMBER(VLOOKUP($B39,'Cental Budget - hwy'!$B$16:$AQ$90,R$1,FALSE)),VLOOKUP($B39,'Cental Budget - hwy'!$B$16:$AQ$90,R$1,FALSE),0)+IF(ISNUMBER(VLOOKUP($B39,#REF!,R$1,FALSE)),VLOOKUP($B39,#REF!,R$1,FALSE),0)</f>
        <v>12022159.040000001</v>
      </c>
      <c r="S39" s="98">
        <f t="shared" si="7"/>
        <v>0.36038786803256645</v>
      </c>
      <c r="T39" s="189">
        <f>+IF(ISNUMBER(VLOOKUP($B39,'Cental Budget - hwy'!$B$16:$AQ$90,T$1,FALSE)),VLOOKUP($B39,'Cental Budget - hwy'!$B$16:$AQ$90,T$1,FALSE),0)+IF(ISNUMBER(VLOOKUP($B39,#REF!,T$1,FALSE)),VLOOKUP($B39,#REF!,T$1,FALSE),0)</f>
        <v>11478163.960000001</v>
      </c>
      <c r="U39" s="98">
        <f t="shared" si="8"/>
        <v>0.3264406088565589</v>
      </c>
      <c r="V39" s="190">
        <f>+IF(ISNUMBER(VLOOKUP($B39,'Cental Budget - hwy'!$B$16:$AQ$90,V$1,FALSE)),VLOOKUP($B39,'Cental Budget - hwy'!$B$16:$AQ$90,V$1,FALSE),0)+IF(ISNUMBER(VLOOKUP($B39,#REF!,V$1,FALSE)),VLOOKUP($B39,#REF!,V$1,FALSE),0)</f>
        <v>0</v>
      </c>
      <c r="W39" s="190">
        <f>+IF(ISNUMBER(VLOOKUP($B39,'Cental Budget - hwy'!$B$16:$AQ$90,W$1,FALSE)),VLOOKUP($B39,'Cental Budget - hwy'!$B$16:$AQ$90,W$1,FALSE),0)+IF(ISNUMBER(VLOOKUP($B39,#REF!,W$1,FALSE)),VLOOKUP($B39,#REF!,W$1,FALSE),0)</f>
        <v>0</v>
      </c>
      <c r="X39" s="189">
        <f>+IF(ISNUMBER(VLOOKUP($B39,'Cental Budget - hwy'!$B$16:$AQ$90,X$1,FALSE)),VLOOKUP($B39,'Cental Budget - hwy'!$B$16:$AQ$90,X$1,FALSE),0)+IF(ISNUMBER(VLOOKUP($B39,#REF!,X$1,FALSE)),VLOOKUP($B39,#REF!,X$1,FALSE),0)</f>
        <v>11478163.960000001</v>
      </c>
      <c r="Y39" s="98">
        <f t="shared" si="9"/>
        <v>0.3264406088565589</v>
      </c>
      <c r="Z39" s="189">
        <f>+IF(ISNUMBER(VLOOKUP($B39,'Cental Budget - hwy'!$B$16:$AQ$90,Z$1,FALSE)),VLOOKUP($B39,'Cental Budget - hwy'!$B$16:$AQ$90,Z$1,FALSE),0)+IF(ISNUMBER(VLOOKUP($B39,#REF!,Z$1,FALSE)),VLOOKUP($B39,#REF!,Z$1,FALSE),0)</f>
        <v>0</v>
      </c>
      <c r="AA39" s="98">
        <f t="shared" si="10"/>
        <v>0</v>
      </c>
      <c r="AB39" s="189">
        <f>+IF(ISNUMBER(VLOOKUP($B39,'Cental Budget - hwy'!$B$16:$AQ$90,AB$1,FALSE)),VLOOKUP($B39,'Cental Budget - hwy'!$B$16:$AQ$90,AB$1,FALSE),0)+IF(ISNUMBER(VLOOKUP($B39,#REF!,AB$1,FALSE)),VLOOKUP($B39,#REF!,AB$1,FALSE),0)</f>
        <v>9881144.4494801089</v>
      </c>
      <c r="AC39" s="98">
        <f>+IF(ISNUMBER(VLOOKUP($B39,'Cental Budget - hwy'!$B$16:$AQ$90,AC$1,FALSE)),VLOOKUP($B39,'Cental Budget - hwy'!$B$16:$AQ$90,AC$1,FALSE),0)+IF(ISNUMBER(VLOOKUP($B39,#REF!,AC$1,FALSE)),VLOOKUP($B39,#REF!,AC$1,FALSE),0)</f>
        <v>0.2661941344758979</v>
      </c>
      <c r="AD39" s="190">
        <f>+IF(ISNUMBER(VLOOKUP($B39,'Cental Budget - hwy'!$B$16:$AQ$90,AD$1,FALSE)),VLOOKUP($B39,'Cental Budget - hwy'!$B$16:$AQ$90,AD$1,FALSE),0)+IF(ISNUMBER(VLOOKUP($B39,#REF!,AD$1,FALSE)),VLOOKUP($B39,#REF!,AD$1,FALSE),0)</f>
        <v>0</v>
      </c>
      <c r="AE39" s="189">
        <f>+IF(ISNUMBER(VLOOKUP($B39,'Cental Budget - hwy'!$B$16:$AQ$90,AE$1,FALSE)),VLOOKUP($B39,'Cental Budget - hwy'!$B$16:$AQ$90,AE$1,FALSE),0)+IF(ISNUMBER(VLOOKUP($B39,#REF!,AE$1,FALSE)),VLOOKUP($B39,#REF!,AE$1,FALSE),0)</f>
        <v>11363382.320400001</v>
      </c>
      <c r="AF39" s="98">
        <f t="shared" si="11"/>
        <v>0.30612503814340564</v>
      </c>
      <c r="AG39" s="189">
        <f>+IF(ISNUMBER(VLOOKUP($B39,'Cental Budget - hwy'!$B$16:$AQ$90,AG$1,FALSE)),VLOOKUP($B39,'Cental Budget - hwy'!$B$16:$AQ$90,AG$1,FALSE),0)+IF(ISNUMBER(VLOOKUP($B39,#REF!,AG$1,FALSE)),VLOOKUP($B39,#REF!,AG$1,FALSE),0)</f>
        <v>8577730.8111422528</v>
      </c>
      <c r="AH39" s="98">
        <f>+IF(ISNUMBER(VLOOKUP($B39,'Cental Budget - hwy'!$B$16:$AQ$90,AH$1,FALSE)),VLOOKUP($B39,'Cental Budget - hwy'!$B$16:$AQ$90,AH$1,FALSE),0)+IF(ISNUMBER(VLOOKUP($B39,#REF!,AH$1,FALSE)),VLOOKUP($B39,#REF!,AH$1,FALSE),0)</f>
        <v>0.21825596462676208</v>
      </c>
      <c r="AI39" s="190">
        <f>+IF(ISNUMBER(VLOOKUP($B39,'Cental Budget - hwy'!$B$16:$AQ$90,AI$1,FALSE)),VLOOKUP($B39,'Cental Budget - hwy'!$B$16:$AQ$90,AI$1,FALSE),0)+IF(ISNUMBER(VLOOKUP($B39,#REF!,AI$1,FALSE)),VLOOKUP($B39,#REF!,AI$1,FALSE),0)</f>
        <v>0</v>
      </c>
      <c r="AJ39" s="189">
        <f>+IF(ISNUMBER(VLOOKUP($B39,'Cental Budget - hwy'!$B$16:$AQ$90,AJ$1,FALSE)),VLOOKUP($B39,'Cental Budget - hwy'!$B$16:$AQ$90,AJ$1,FALSE),0)+IF(ISNUMBER(VLOOKUP($B39,#REF!,AJ$1,FALSE)),VLOOKUP($B39,#REF!,AJ$1,FALSE),0)</f>
        <v>10799804.469964001</v>
      </c>
      <c r="AK39" s="98">
        <f t="shared" si="12"/>
        <v>0.27479549012083349</v>
      </c>
      <c r="AL39" s="189">
        <f>+IF(ISNUMBER(VLOOKUP($B39,'Cental Budget - hwy'!$B$16:$AQ$90,AL$1,FALSE)),VLOOKUP($B39,'Cental Budget - hwy'!$B$16:$AQ$90,AL$1,FALSE),0)+IF(ISNUMBER(VLOOKUP($B39,#REF!,AL$1,FALSE)),VLOOKUP($B39,#REF!,AL$1,FALSE),0)</f>
        <v>10475810.33586508</v>
      </c>
      <c r="AM39" s="98">
        <f t="shared" si="13"/>
        <v>0.25127415669043013</v>
      </c>
      <c r="AO39" s="105"/>
      <c r="AP39" s="106"/>
      <c r="AQ39" s="106"/>
      <c r="AR39" s="106"/>
      <c r="AS39" s="106"/>
      <c r="AT39" s="107"/>
      <c r="AU39" s="81"/>
      <c r="AV39" s="81"/>
      <c r="AW39" s="81"/>
      <c r="AX39" s="81"/>
      <c r="AY39" s="81"/>
      <c r="AZ39" s="81"/>
      <c r="BA39" s="81"/>
      <c r="BB39" s="81"/>
      <c r="BC39" s="81"/>
      <c r="BD39" s="81"/>
      <c r="BE39" s="81"/>
      <c r="BF39" s="81"/>
      <c r="BG39" s="81"/>
      <c r="DS39" s="198"/>
      <c r="DT39" s="198"/>
      <c r="DU39" s="176"/>
      <c r="DV39" s="176"/>
      <c r="DW39" s="176"/>
      <c r="DX39" s="175"/>
    </row>
    <row r="40" spans="1:128" ht="13.5" customHeight="1">
      <c r="B40" s="80">
        <v>413</v>
      </c>
      <c r="C40" s="94" t="s">
        <v>448</v>
      </c>
      <c r="D40" s="189">
        <f>+IF(ISNUMBER(VLOOKUP($B40,'Cental Budget - hwy'!$B$16:$AQ$90,D$1,FALSE)),VLOOKUP($B40,'Cental Budget - hwy'!$B$16:$AQ$90,D$1,FALSE),0)+IF(ISNUMBER(VLOOKUP($B40,#REF!,D$1,FALSE)),VLOOKUP($B40,#REF!,D$1,FALSE),0)</f>
        <v>112547776.84</v>
      </c>
      <c r="E40" s="98">
        <f t="shared" si="0"/>
        <v>5.2374599488110203</v>
      </c>
      <c r="F40" s="189">
        <f>+IF(ISNUMBER(VLOOKUP($B40,'Cental Budget - hwy'!$B$16:$AQ$90,F$1,FALSE)),VLOOKUP($B40,'Cental Budget - hwy'!$B$16:$AQ$90,F$1,FALSE),0)+IF(ISNUMBER(VLOOKUP($B40,#REF!,F$1,FALSE)),VLOOKUP($B40,#REF!,F$1,FALSE),0)</f>
        <v>137071242.36000001</v>
      </c>
      <c r="G40" s="98">
        <f t="shared" si="1"/>
        <v>5.1136445573587022</v>
      </c>
      <c r="H40" s="189">
        <f>+IF(ISNUMBER(VLOOKUP($B40,'Cental Budget - hwy'!$B$16:$AQ$90,H$1,FALSE)),VLOOKUP($B40,'Cental Budget - hwy'!$B$16:$AQ$90,H$1,FALSE),0)+IF(ISNUMBER(VLOOKUP($B40,#REF!,H$1,FALSE)),VLOOKUP($B40,#REF!,H$1,FALSE),0)</f>
        <v>114434326.15000001</v>
      </c>
      <c r="I40" s="98">
        <f t="shared" si="2"/>
        <v>3.7086571866087636</v>
      </c>
      <c r="J40" s="189">
        <f>+IF(ISNUMBER(VLOOKUP($B40,'Cental Budget - hwy'!$B$16:$AQ$90,J$1,FALSE)),VLOOKUP($B40,'Cental Budget - hwy'!$B$16:$AQ$90,J$1,FALSE),0)+IF(ISNUMBER(VLOOKUP($B40,#REF!,J$1,FALSE)),VLOOKUP($B40,#REF!,J$1,FALSE),0)</f>
        <v>109956288.45999999</v>
      </c>
      <c r="K40" s="98">
        <f t="shared" si="3"/>
        <v>3.6885705622274405</v>
      </c>
      <c r="L40" s="189">
        <f>+IF(ISNUMBER(VLOOKUP($B40,'Cental Budget - hwy'!$B$16:$AQ$90,L$1,FALSE)),VLOOKUP($B40,'Cental Budget - hwy'!$B$16:$AQ$90,L$1,FALSE),0)+IF(ISNUMBER(VLOOKUP($B40,#REF!,L$1,FALSE)),VLOOKUP($B40,#REF!,L$1,FALSE),0)</f>
        <v>112683384.09</v>
      </c>
      <c r="M40" s="98">
        <f t="shared" ref="M40:M74" si="14">L40/L$11*100</f>
        <v>3.6302636626932991</v>
      </c>
      <c r="N40" s="189">
        <f>+IF(ISNUMBER(VLOOKUP($B40,'Cental Budget - hwy'!$B$16:$AQ$90,N$1,FALSE)),VLOOKUP($B40,'Cental Budget - hwy'!$B$16:$AQ$90,N$1,FALSE),0)+IF(ISNUMBER(VLOOKUP($B40,#REF!,N$1,FALSE)),VLOOKUP($B40,#REF!,N$1,FALSE),0)</f>
        <v>104006154.47999999</v>
      </c>
      <c r="O40" s="98">
        <f t="shared" si="5"/>
        <v>3.2160220927643786</v>
      </c>
      <c r="P40" s="189">
        <f>+IF(ISNUMBER(VLOOKUP($B40,'Cental Budget - hwy'!$B$16:$AQ$90,P$1,FALSE)),VLOOKUP($B40,'Cental Budget - hwy'!$B$16:$AQ$90,P$1,FALSE),0)+IF(ISNUMBER(VLOOKUP($B40,#REF!,P$1,FALSE)),VLOOKUP($B40,#REF!,P$1,FALSE),0)</f>
        <v>150386742.56999999</v>
      </c>
      <c r="Q40" s="98">
        <f t="shared" si="6"/>
        <v>4.7756983985392187</v>
      </c>
      <c r="R40" s="189">
        <f>+IF(ISNUMBER(VLOOKUP($B40,'Cental Budget - hwy'!$B$16:$AQ$90,R$1,FALSE)),VLOOKUP($B40,'Cental Budget - hwy'!$B$16:$AQ$90,R$1,FALSE),0)+IF(ISNUMBER(VLOOKUP($B40,#REF!,R$1,FALSE)),VLOOKUP($B40,#REF!,R$1,FALSE),0)</f>
        <v>90442340.840000004</v>
      </c>
      <c r="S40" s="98">
        <f t="shared" si="7"/>
        <v>2.7111870910004456</v>
      </c>
      <c r="T40" s="189">
        <f>+IF(ISNUMBER(VLOOKUP($B40,'Cental Budget - hwy'!$B$16:$AQ$90,T$1,FALSE)),VLOOKUP($B40,'Cental Budget - hwy'!$B$16:$AQ$90,T$1,FALSE),0)+IF(ISNUMBER(VLOOKUP($B40,#REF!,T$1,FALSE)),VLOOKUP($B40,#REF!,T$1,FALSE),0)</f>
        <v>29295302.830000002</v>
      </c>
      <c r="U40" s="98">
        <f t="shared" si="8"/>
        <v>0.83316256204293437</v>
      </c>
      <c r="V40" s="190">
        <f>+IF(ISNUMBER(VLOOKUP($B40,'Cental Budget - hwy'!$B$16:$AQ$90,V$1,FALSE)),VLOOKUP($B40,'Cental Budget - hwy'!$B$16:$AQ$90,V$1,FALSE),0)+IF(ISNUMBER(VLOOKUP($B40,#REF!,V$1,FALSE)),VLOOKUP($B40,#REF!,V$1,FALSE),0)</f>
        <v>0</v>
      </c>
      <c r="W40" s="190">
        <f>+IF(ISNUMBER(VLOOKUP($B40,'Cental Budget - hwy'!$B$16:$AQ$90,W$1,FALSE)),VLOOKUP($B40,'Cental Budget - hwy'!$B$16:$AQ$90,W$1,FALSE),0)+IF(ISNUMBER(VLOOKUP($B40,#REF!,W$1,FALSE)),VLOOKUP($B40,#REF!,W$1,FALSE),0)</f>
        <v>0</v>
      </c>
      <c r="X40" s="189">
        <f>+IF(ISNUMBER(VLOOKUP($B40,'Cental Budget - hwy'!$B$16:$AQ$90,X$1,FALSE)),VLOOKUP($B40,'Cental Budget - hwy'!$B$16:$AQ$90,X$1,FALSE),0)+IF(ISNUMBER(VLOOKUP($B40,#REF!,X$1,FALSE)),VLOOKUP($B40,#REF!,X$1,FALSE),0)</f>
        <v>29295302.830000002</v>
      </c>
      <c r="Y40" s="98">
        <f t="shared" si="9"/>
        <v>0.83316256204293437</v>
      </c>
      <c r="Z40" s="189">
        <f>+IF(ISNUMBER(VLOOKUP($B40,'Cental Budget - hwy'!$B$16:$AQ$90,Z$1,FALSE)),VLOOKUP($B40,'Cental Budget - hwy'!$B$16:$AQ$90,Z$1,FALSE),0)+IF(ISNUMBER(VLOOKUP($B40,#REF!,Z$1,FALSE)),VLOOKUP($B40,#REF!,Z$1,FALSE),0)</f>
        <v>0</v>
      </c>
      <c r="AA40" s="98">
        <f t="shared" si="10"/>
        <v>0</v>
      </c>
      <c r="AB40" s="189">
        <f>+IF(ISNUMBER(VLOOKUP($B40,'Cental Budget - hwy'!$B$16:$AQ$90,AB$1,FALSE)),VLOOKUP($B40,'Cental Budget - hwy'!$B$16:$AQ$90,AB$1,FALSE),0)+IF(ISNUMBER(VLOOKUP($B40,#REF!,AB$1,FALSE)),VLOOKUP($B40,#REF!,AB$1,FALSE),0)</f>
        <v>86391320.407999992</v>
      </c>
      <c r="AC40" s="98">
        <f>+IF(ISNUMBER(VLOOKUP($B40,'Cental Budget - hwy'!$B$16:$AQ$90,AC$1,FALSE)),VLOOKUP($B40,'Cental Budget - hwy'!$B$16:$AQ$90,AC$1,FALSE),0)+IF(ISNUMBER(VLOOKUP($B40,#REF!,AC$1,FALSE)),VLOOKUP($B40,#REF!,AC$1,FALSE),0)</f>
        <v>2.3273481001937486</v>
      </c>
      <c r="AD40" s="190">
        <f>+IF(ISNUMBER(VLOOKUP($B40,'Cental Budget - hwy'!$B$16:$AQ$90,AD$1,FALSE)),VLOOKUP($B40,'Cental Budget - hwy'!$B$16:$AQ$90,AD$1,FALSE),0)+IF(ISNUMBER(VLOOKUP($B40,#REF!,AD$1,FALSE)),VLOOKUP($B40,#REF!,AD$1,FALSE),0)</f>
        <v>0</v>
      </c>
      <c r="AE40" s="189">
        <f>+IF(ISNUMBER(VLOOKUP($B40,'Cental Budget - hwy'!$B$16:$AQ$90,AE$1,FALSE)),VLOOKUP($B40,'Cental Budget - hwy'!$B$16:$AQ$90,AE$1,FALSE),0)+IF(ISNUMBER(VLOOKUP($B40,#REF!,AE$1,FALSE)),VLOOKUP($B40,#REF!,AE$1,FALSE),0)</f>
        <v>29002349.8017</v>
      </c>
      <c r="AF40" s="98">
        <f t="shared" si="11"/>
        <v>0.78131186551340814</v>
      </c>
      <c r="AG40" s="189">
        <f>+IF(ISNUMBER(VLOOKUP($B40,'Cental Budget - hwy'!$B$16:$AQ$90,AG$1,FALSE)),VLOOKUP($B40,'Cental Budget - hwy'!$B$16:$AQ$90,AG$1,FALSE),0)+IF(ISNUMBER(VLOOKUP($B40,#REF!,AG$1,FALSE)),VLOOKUP($B40,#REF!,AG$1,FALSE),0)</f>
        <v>87255233.612079993</v>
      </c>
      <c r="AH40" s="98">
        <f>+IF(ISNUMBER(VLOOKUP($B40,'Cental Budget - hwy'!$B$16:$AQ$90,AH$1,FALSE)),VLOOKUP($B40,'Cental Budget - hwy'!$B$16:$AQ$90,AH$1,FALSE),0)+IF(ISNUMBER(VLOOKUP($B40,#REF!,AH$1,FALSE)),VLOOKUP($B40,#REF!,AH$1,FALSE),0)</f>
        <v>2.2201647032336753</v>
      </c>
      <c r="AI40" s="190">
        <f>+IF(ISNUMBER(VLOOKUP($B40,'Cental Budget - hwy'!$B$16:$AQ$90,AI$1,FALSE)),VLOOKUP($B40,'Cental Budget - hwy'!$B$16:$AQ$90,AI$1,FALSE),0)+IF(ISNUMBER(VLOOKUP($B40,#REF!,AI$1,FALSE)),VLOOKUP($B40,#REF!,AI$1,FALSE),0)</f>
        <v>0</v>
      </c>
      <c r="AJ40" s="189">
        <f>+IF(ISNUMBER(VLOOKUP($B40,'Cental Budget - hwy'!$B$16:$AQ$90,AJ$1,FALSE)),VLOOKUP($B40,'Cental Budget - hwy'!$B$16:$AQ$90,AJ$1,FALSE),0)+IF(ISNUMBER(VLOOKUP($B40,#REF!,AJ$1,FALSE)),VLOOKUP($B40,#REF!,AJ$1,FALSE),0)</f>
        <v>27563950.432747003</v>
      </c>
      <c r="AK40" s="98">
        <f t="shared" si="12"/>
        <v>0.70135059295738533</v>
      </c>
      <c r="AL40" s="189">
        <f>+IF(ISNUMBER(VLOOKUP($B40,'Cental Budget - hwy'!$B$16:$AQ$90,AL$1,FALSE)),VLOOKUP($B40,'Cental Budget - hwy'!$B$16:$AQ$90,AL$1,FALSE),0)+IF(ISNUMBER(VLOOKUP($B40,#REF!,AL$1,FALSE)),VLOOKUP($B40,#REF!,AL$1,FALSE),0)</f>
        <v>26737031.919764593</v>
      </c>
      <c r="AM40" s="98">
        <f t="shared" si="13"/>
        <v>0.64131794416352117</v>
      </c>
      <c r="AO40" s="105"/>
      <c r="AP40" s="106"/>
      <c r="AQ40" s="106"/>
      <c r="AR40" s="106"/>
      <c r="AS40" s="106"/>
      <c r="AT40" s="107"/>
      <c r="AU40" s="81"/>
      <c r="AV40" s="81"/>
      <c r="AW40" s="81"/>
      <c r="AX40" s="81"/>
      <c r="AY40" s="81"/>
      <c r="AZ40" s="81"/>
      <c r="BA40" s="81"/>
      <c r="BB40" s="81"/>
      <c r="BC40" s="81"/>
      <c r="BD40" s="81"/>
      <c r="BE40" s="81"/>
      <c r="BF40" s="81"/>
      <c r="BG40" s="81"/>
      <c r="DS40" s="198"/>
      <c r="DT40" s="198"/>
      <c r="DU40" s="176"/>
      <c r="DV40" s="176"/>
      <c r="DW40" s="176"/>
      <c r="DX40" s="175"/>
    </row>
    <row r="41" spans="1:128" ht="13.5" customHeight="1">
      <c r="B41" s="80">
        <v>414</v>
      </c>
      <c r="C41" s="94" t="s">
        <v>449</v>
      </c>
      <c r="D41" s="189">
        <f>+IF(ISNUMBER(VLOOKUP($B41,'Cental Budget - hwy'!$B$16:$AQ$90,D$1,FALSE)),VLOOKUP($B41,'Cental Budget - hwy'!$B$16:$AQ$90,D$1,FALSE),0)+IF(ISNUMBER(VLOOKUP($B41,#REF!,D$1,FALSE)),VLOOKUP($B41,#REF!,D$1,FALSE),0)</f>
        <v>0</v>
      </c>
      <c r="E41" s="98">
        <f t="shared" si="0"/>
        <v>0</v>
      </c>
      <c r="F41" s="189">
        <f>+IF(ISNUMBER(VLOOKUP($B41,'Cental Budget - hwy'!$B$16:$AQ$90,F$1,FALSE)),VLOOKUP($B41,'Cental Budget - hwy'!$B$16:$AQ$90,F$1,FALSE),0)+IF(ISNUMBER(VLOOKUP($B41,#REF!,F$1,FALSE)),VLOOKUP($B41,#REF!,F$1,FALSE),0)</f>
        <v>0</v>
      </c>
      <c r="G41" s="98">
        <f t="shared" si="1"/>
        <v>0</v>
      </c>
      <c r="H41" s="189">
        <f>+IF(ISNUMBER(VLOOKUP($B41,'Cental Budget - hwy'!$B$16:$AQ$90,H$1,FALSE)),VLOOKUP($B41,'Cental Budget - hwy'!$B$16:$AQ$90,H$1,FALSE),0)+IF(ISNUMBER(VLOOKUP($B41,#REF!,H$1,FALSE)),VLOOKUP($B41,#REF!,H$1,FALSE),0)</f>
        <v>0</v>
      </c>
      <c r="I41" s="98">
        <f t="shared" si="2"/>
        <v>0</v>
      </c>
      <c r="J41" s="189">
        <f>+IF(ISNUMBER(VLOOKUP($B41,'Cental Budget - hwy'!$B$16:$AQ$90,J$1,FALSE)),VLOOKUP($B41,'Cental Budget - hwy'!$B$16:$AQ$90,J$1,FALSE),0)+IF(ISNUMBER(VLOOKUP($B41,#REF!,J$1,FALSE)),VLOOKUP($B41,#REF!,J$1,FALSE),0)</f>
        <v>0</v>
      </c>
      <c r="K41" s="98">
        <f t="shared" si="3"/>
        <v>0</v>
      </c>
      <c r="L41" s="189">
        <f>+IF(ISNUMBER(VLOOKUP($B41,'Cental Budget - hwy'!$B$16:$AQ$90,L$1,FALSE)),VLOOKUP($B41,'Cental Budget - hwy'!$B$16:$AQ$90,L$1,FALSE),0)+IF(ISNUMBER(VLOOKUP($B41,#REF!,L$1,FALSE)),VLOOKUP($B41,#REF!,L$1,FALSE),0)</f>
        <v>0</v>
      </c>
      <c r="M41" s="98">
        <f t="shared" si="14"/>
        <v>0</v>
      </c>
      <c r="N41" s="189">
        <f>+IF(ISNUMBER(VLOOKUP($B41,'Cental Budget - hwy'!$B$16:$AQ$90,N$1,FALSE)),VLOOKUP($B41,'Cental Budget - hwy'!$B$16:$AQ$90,N$1,FALSE),0)+IF(ISNUMBER(VLOOKUP($B41,#REF!,N$1,FALSE)),VLOOKUP($B41,#REF!,N$1,FALSE),0)</f>
        <v>0</v>
      </c>
      <c r="O41" s="98">
        <f t="shared" si="5"/>
        <v>0</v>
      </c>
      <c r="P41" s="189">
        <f>+IF(ISNUMBER(VLOOKUP($B41,'Cental Budget - hwy'!$B$16:$AQ$90,P$1,FALSE)),VLOOKUP($B41,'Cental Budget - hwy'!$B$16:$AQ$90,P$1,FALSE),0)+IF(ISNUMBER(VLOOKUP($B41,#REF!,P$1,FALSE)),VLOOKUP($B41,#REF!,P$1,FALSE),0)</f>
        <v>0</v>
      </c>
      <c r="Q41" s="98">
        <f t="shared" si="6"/>
        <v>0</v>
      </c>
      <c r="R41" s="189">
        <f>+IF(ISNUMBER(VLOOKUP($B41,'Cental Budget - hwy'!$B$16:$AQ$90,R$1,FALSE)),VLOOKUP($B41,'Cental Budget - hwy'!$B$16:$AQ$90,R$1,FALSE),0)+IF(ISNUMBER(VLOOKUP($B41,#REF!,R$1,FALSE)),VLOOKUP($B41,#REF!,R$1,FALSE),0)</f>
        <v>0</v>
      </c>
      <c r="S41" s="98">
        <f t="shared" si="7"/>
        <v>0</v>
      </c>
      <c r="T41" s="189">
        <f>+IF(ISNUMBER(VLOOKUP($B41,'Cental Budget - hwy'!$B$16:$AQ$90,T$1,FALSE)),VLOOKUP($B41,'Cental Budget - hwy'!$B$16:$AQ$90,T$1,FALSE),0)+IF(ISNUMBER(VLOOKUP($B41,#REF!,T$1,FALSE)),VLOOKUP($B41,#REF!,T$1,FALSE),0)</f>
        <v>40692845.799999997</v>
      </c>
      <c r="U41" s="98">
        <f t="shared" si="8"/>
        <v>1.1573102985242654</v>
      </c>
      <c r="V41" s="190">
        <f>+IF(ISNUMBER(VLOOKUP($B41,'Cental Budget - hwy'!$B$16:$AQ$90,V$1,FALSE)),VLOOKUP($B41,'Cental Budget - hwy'!$B$16:$AQ$90,V$1,FALSE),0)+IF(ISNUMBER(VLOOKUP($B41,#REF!,V$1,FALSE)),VLOOKUP($B41,#REF!,V$1,FALSE),0)</f>
        <v>0</v>
      </c>
      <c r="W41" s="190">
        <f>+IF(ISNUMBER(VLOOKUP($B41,'Cental Budget - hwy'!$B$16:$AQ$90,W$1,FALSE)),VLOOKUP($B41,'Cental Budget - hwy'!$B$16:$AQ$90,W$1,FALSE),0)+IF(ISNUMBER(VLOOKUP($B41,#REF!,W$1,FALSE)),VLOOKUP($B41,#REF!,W$1,FALSE),0)</f>
        <v>0</v>
      </c>
      <c r="X41" s="189">
        <f>+IF(ISNUMBER(VLOOKUP($B41,'Cental Budget - hwy'!$B$16:$AQ$90,X$1,FALSE)),VLOOKUP($B41,'Cental Budget - hwy'!$B$16:$AQ$90,X$1,FALSE),0)+IF(ISNUMBER(VLOOKUP($B41,#REF!,X$1,FALSE)),VLOOKUP($B41,#REF!,X$1,FALSE),0)</f>
        <v>40692845.799999997</v>
      </c>
      <c r="Y41" s="98">
        <f>X41/X$11*100</f>
        <v>1.1573102985242654</v>
      </c>
      <c r="Z41" s="189">
        <f>+IF(ISNUMBER(VLOOKUP($B41,'Cental Budget - hwy'!$B$16:$AQ$90,Z$1,FALSE)),VLOOKUP($B41,'Cental Budget - hwy'!$B$16:$AQ$90,Z$1,FALSE),0)+IF(ISNUMBER(VLOOKUP($B41,#REF!,Z$1,FALSE)),VLOOKUP($B41,#REF!,Z$1,FALSE),0)</f>
        <v>0</v>
      </c>
      <c r="AA41" s="98">
        <f>Z41/Z$11*100</f>
        <v>0</v>
      </c>
      <c r="AB41" s="189">
        <f>+IF(ISNUMBER(VLOOKUP($B41,'Cental Budget - hwy'!$B$16:$AQ$90,AB$1,FALSE)),VLOOKUP($B41,'Cental Budget - hwy'!$B$16:$AQ$90,AB$1,FALSE),0)+IF(ISNUMBER(VLOOKUP($B41,#REF!,AB$1,FALSE)),VLOOKUP($B41,#REF!,AB$1,FALSE),0)</f>
        <v>0</v>
      </c>
      <c r="AC41" s="98">
        <f>+IF(ISNUMBER(VLOOKUP($B41,'Cental Budget - hwy'!$B$16:$AQ$90,AC$1,FALSE)),VLOOKUP($B41,'Cental Budget - hwy'!$B$16:$AQ$90,AC$1,FALSE),0)+IF(ISNUMBER(VLOOKUP($B41,#REF!,AC$1,FALSE)),VLOOKUP($B41,#REF!,AC$1,FALSE),0)</f>
        <v>0</v>
      </c>
      <c r="AD41" s="190">
        <f>+IF(ISNUMBER(VLOOKUP($B41,'Cental Budget - hwy'!$B$16:$AQ$90,AD$1,FALSE)),VLOOKUP($B41,'Cental Budget - hwy'!$B$16:$AQ$90,AD$1,FALSE),0)+IF(ISNUMBER(VLOOKUP($B41,#REF!,AD$1,FALSE)),VLOOKUP($B41,#REF!,AD$1,FALSE),0)</f>
        <v>0</v>
      </c>
      <c r="AE41" s="189">
        <f>+IF(ISNUMBER(VLOOKUP($B41,'Cental Budget - hwy'!$B$16:$AQ$90,AE$1,FALSE)),VLOOKUP($B41,'Cental Budget - hwy'!$B$16:$AQ$90,AE$1,FALSE),0)+IF(ISNUMBER(VLOOKUP($B41,#REF!,AE$1,FALSE)),VLOOKUP($B41,#REF!,AE$1,FALSE),0)</f>
        <v>40664325.848536722</v>
      </c>
      <c r="AF41" s="98">
        <f t="shared" si="11"/>
        <v>1.0954809008855899</v>
      </c>
      <c r="AG41" s="189">
        <f>+IF(ISNUMBER(VLOOKUP($B41,'Cental Budget - hwy'!$B$16:$AQ$90,AG$1,FALSE)),VLOOKUP($B41,'Cental Budget - hwy'!$B$16:$AQ$90,AG$1,FALSE),0)+IF(ISNUMBER(VLOOKUP($B41,#REF!,AG$1,FALSE)),VLOOKUP($B41,#REF!,AG$1,FALSE),0)</f>
        <v>0</v>
      </c>
      <c r="AH41" s="98">
        <f>+IF(ISNUMBER(VLOOKUP($B41,'Cental Budget - hwy'!$B$16:$AQ$90,AH$1,FALSE)),VLOOKUP($B41,'Cental Budget - hwy'!$B$16:$AQ$90,AH$1,FALSE),0)+IF(ISNUMBER(VLOOKUP($B41,#REF!,AH$1,FALSE)),VLOOKUP($B41,#REF!,AH$1,FALSE),0)</f>
        <v>0</v>
      </c>
      <c r="AI41" s="190">
        <f>+IF(ISNUMBER(VLOOKUP($B41,'Cental Budget - hwy'!$B$16:$AQ$90,AI$1,FALSE)),VLOOKUP($B41,'Cental Budget - hwy'!$B$16:$AQ$90,AI$1,FALSE),0)+IF(ISNUMBER(VLOOKUP($B41,#REF!,AI$1,FALSE)),VLOOKUP($B41,#REF!,AI$1,FALSE),0)</f>
        <v>0</v>
      </c>
      <c r="AJ41" s="189">
        <f>+IF(ISNUMBER(VLOOKUP($B41,'Cental Budget - hwy'!$B$16:$AQ$90,AJ$1,FALSE)),VLOOKUP($B41,'Cental Budget - hwy'!$B$16:$AQ$90,AJ$1,FALSE),0)+IF(ISNUMBER(VLOOKUP($B41,#REF!,AJ$1,FALSE)),VLOOKUP($B41,#REF!,AJ$1,FALSE),0)</f>
        <v>38287898.613219999</v>
      </c>
      <c r="AK41" s="98">
        <f t="shared" si="12"/>
        <v>0.97421595866648525</v>
      </c>
      <c r="AL41" s="189">
        <f>+IF(ISNUMBER(VLOOKUP($B41,'Cental Budget - hwy'!$B$16:$AQ$90,AL$1,FALSE)),VLOOKUP($B41,'Cental Budget - hwy'!$B$16:$AQ$90,AL$1,FALSE),0)+IF(ISNUMBER(VLOOKUP($B41,#REF!,AL$1,FALSE)),VLOOKUP($B41,#REF!,AL$1,FALSE),0)</f>
        <v>37139261.6548234</v>
      </c>
      <c r="AM41" s="98">
        <f t="shared" si="13"/>
        <v>0.89082718694050689</v>
      </c>
      <c r="AO41" s="105"/>
      <c r="AP41" s="106"/>
      <c r="AQ41" s="106"/>
      <c r="AR41" s="106"/>
      <c r="AS41" s="106"/>
      <c r="AT41" s="107"/>
      <c r="AU41" s="81"/>
      <c r="AV41" s="81"/>
      <c r="AW41" s="81"/>
      <c r="AX41" s="81"/>
      <c r="AY41" s="81"/>
      <c r="AZ41" s="81"/>
      <c r="BA41" s="81"/>
      <c r="BB41" s="81"/>
      <c r="BC41" s="81"/>
      <c r="BD41" s="81"/>
      <c r="BE41" s="81"/>
      <c r="BF41" s="81"/>
      <c r="BG41" s="81"/>
      <c r="DS41" s="198"/>
      <c r="DT41" s="198"/>
      <c r="DU41" s="176"/>
      <c r="DV41" s="176"/>
      <c r="DW41" s="176"/>
      <c r="DX41" s="175"/>
    </row>
    <row r="42" spans="1:128" ht="13.5" customHeight="1">
      <c r="B42" s="80">
        <v>415</v>
      </c>
      <c r="C42" s="94" t="s">
        <v>450</v>
      </c>
      <c r="D42" s="189">
        <f>+IF(ISNUMBER(VLOOKUP($B42,'Cental Budget - hwy'!$B$16:$AQ$90,D$1,FALSE)),VLOOKUP($B42,'Cental Budget - hwy'!$B$16:$AQ$90,D$1,FALSE),0)+IF(ISNUMBER(VLOOKUP($B42,#REF!,D$1,FALSE)),VLOOKUP($B42,#REF!,D$1,FALSE),0)</f>
        <v>20449366.720000003</v>
      </c>
      <c r="E42" s="98">
        <f t="shared" si="0"/>
        <v>0.95162021127088292</v>
      </c>
      <c r="F42" s="189">
        <f>+IF(ISNUMBER(VLOOKUP($B42,'Cental Budget - hwy'!$B$16:$AQ$90,F$1,FALSE)),VLOOKUP($B42,'Cental Budget - hwy'!$B$16:$AQ$90,F$1,FALSE),0)+IF(ISNUMBER(VLOOKUP($B42,#REF!,F$1,FALSE)),VLOOKUP($B42,#REF!,F$1,FALSE),0)</f>
        <v>22633631.750000004</v>
      </c>
      <c r="G42" s="98">
        <f t="shared" si="1"/>
        <v>0.8443809643723188</v>
      </c>
      <c r="H42" s="189">
        <f>+IF(ISNUMBER(VLOOKUP($B42,'Cental Budget - hwy'!$B$16:$AQ$90,H$1,FALSE)),VLOOKUP($B42,'Cental Budget - hwy'!$B$16:$AQ$90,H$1,FALSE),0)+IF(ISNUMBER(VLOOKUP($B42,#REF!,H$1,FALSE)),VLOOKUP($B42,#REF!,H$1,FALSE),0)</f>
        <v>22151878.379999999</v>
      </c>
      <c r="I42" s="98">
        <f t="shared" si="2"/>
        <v>0.71791153681617836</v>
      </c>
      <c r="J42" s="189">
        <f>+IF(ISNUMBER(VLOOKUP($B42,'Cental Budget - hwy'!$B$16:$AQ$90,J$1,FALSE)),VLOOKUP($B42,'Cental Budget - hwy'!$B$16:$AQ$90,J$1,FALSE),0)+IF(ISNUMBER(VLOOKUP($B42,#REF!,J$1,FALSE)),VLOOKUP($B42,#REF!,J$1,FALSE),0)</f>
        <v>5130736.91</v>
      </c>
      <c r="K42" s="98">
        <f t="shared" si="3"/>
        <v>0.17211462294532037</v>
      </c>
      <c r="L42" s="189">
        <f>+IF(ISNUMBER(VLOOKUP($B42,'Cental Budget - hwy'!$B$16:$AQ$90,L$1,FALSE)),VLOOKUP($B42,'Cental Budget - hwy'!$B$16:$AQ$90,L$1,FALSE),0)+IF(ISNUMBER(VLOOKUP($B42,#REF!,L$1,FALSE)),VLOOKUP($B42,#REF!,L$1,FALSE),0)</f>
        <v>28005189.850000001</v>
      </c>
      <c r="M42" s="98">
        <f t="shared" si="14"/>
        <v>0.90222905444587631</v>
      </c>
      <c r="N42" s="189">
        <f>+IF(ISNUMBER(VLOOKUP($B42,'Cental Budget - hwy'!$B$16:$AQ$90,N$1,FALSE)),VLOOKUP($B42,'Cental Budget - hwy'!$B$16:$AQ$90,N$1,FALSE),0)+IF(ISNUMBER(VLOOKUP($B42,#REF!,N$1,FALSE)),VLOOKUP($B42,#REF!,N$1,FALSE),0)</f>
        <v>23542025.550000001</v>
      </c>
      <c r="O42" s="98">
        <f t="shared" si="5"/>
        <v>0.72795378942486089</v>
      </c>
      <c r="P42" s="189">
        <f>+IF(ISNUMBER(VLOOKUP($B42,'Cental Budget - hwy'!$B$16:$AQ$90,P$1,FALSE)),VLOOKUP($B42,'Cental Budget - hwy'!$B$16:$AQ$90,P$1,FALSE),0)+IF(ISNUMBER(VLOOKUP($B42,#REF!,P$1,FALSE)),VLOOKUP($B42,#REF!,P$1,FALSE),0)</f>
        <v>22365850.899999999</v>
      </c>
      <c r="Q42" s="98">
        <f t="shared" si="6"/>
        <v>0.71025248967926324</v>
      </c>
      <c r="R42" s="189">
        <f>+IF(ISNUMBER(VLOOKUP($B42,'Cental Budget - hwy'!$B$16:$AQ$90,R$1,FALSE)),VLOOKUP($B42,'Cental Budget - hwy'!$B$16:$AQ$90,R$1,FALSE),0)+IF(ISNUMBER(VLOOKUP($B42,#REF!,R$1,FALSE)),VLOOKUP($B42,#REF!,R$1,FALSE),0)</f>
        <v>20416485.639999997</v>
      </c>
      <c r="S42" s="98">
        <f t="shared" si="7"/>
        <v>0.61202432175752564</v>
      </c>
      <c r="T42" s="189">
        <f>+IF(ISNUMBER(VLOOKUP($B42,'Cental Budget - hwy'!$B$16:$AQ$90,T$1,FALSE)),VLOOKUP($B42,'Cental Budget - hwy'!$B$16:$AQ$90,T$1,FALSE),0)+IF(ISNUMBER(VLOOKUP($B42,#REF!,T$1,FALSE)),VLOOKUP($B42,#REF!,T$1,FALSE),0)</f>
        <v>21655403.200000003</v>
      </c>
      <c r="U42" s="98">
        <f t="shared" si="8"/>
        <v>0.61588273440574504</v>
      </c>
      <c r="V42" s="190">
        <f>+IF(ISNUMBER(VLOOKUP($B42,'Cental Budget - hwy'!$B$16:$AQ$90,V$1,FALSE)),VLOOKUP($B42,'Cental Budget - hwy'!$B$16:$AQ$90,V$1,FALSE),0)+IF(ISNUMBER(VLOOKUP($B42,#REF!,V$1,FALSE)),VLOOKUP($B42,#REF!,V$1,FALSE),0)</f>
        <v>0</v>
      </c>
      <c r="W42" s="190">
        <f>+IF(ISNUMBER(VLOOKUP($B42,'Cental Budget - hwy'!$B$16:$AQ$90,W$1,FALSE)),VLOOKUP($B42,'Cental Budget - hwy'!$B$16:$AQ$90,W$1,FALSE),0)+IF(ISNUMBER(VLOOKUP($B42,#REF!,W$1,FALSE)),VLOOKUP($B42,#REF!,W$1,FALSE),0)</f>
        <v>0</v>
      </c>
      <c r="X42" s="189">
        <f>+IF(ISNUMBER(VLOOKUP($B42,'Cental Budget - hwy'!$B$16:$AQ$90,X$1,FALSE)),VLOOKUP($B42,'Cental Budget - hwy'!$B$16:$AQ$90,X$1,FALSE),0)+IF(ISNUMBER(VLOOKUP($B42,#REF!,X$1,FALSE)),VLOOKUP($B42,#REF!,X$1,FALSE),0)</f>
        <v>21655403.200000003</v>
      </c>
      <c r="Y42" s="98">
        <f t="shared" si="9"/>
        <v>0.61588273440574504</v>
      </c>
      <c r="Z42" s="189">
        <f>+IF(ISNUMBER(VLOOKUP($B42,'Cental Budget - hwy'!$B$16:$AQ$90,Z$1,FALSE)),VLOOKUP($B42,'Cental Budget - hwy'!$B$16:$AQ$90,Z$1,FALSE),0)+IF(ISNUMBER(VLOOKUP($B42,#REF!,Z$1,FALSE)),VLOOKUP($B42,#REF!,Z$1,FALSE),0)</f>
        <v>0</v>
      </c>
      <c r="AA42" s="98">
        <f t="shared" ref="AA42:AA74" si="15">Z42/Z$11*100</f>
        <v>0</v>
      </c>
      <c r="AB42" s="189">
        <f>+IF(ISNUMBER(VLOOKUP($B42,'Cental Budget - hwy'!$B$16:$AQ$90,AB$1,FALSE)),VLOOKUP($B42,'Cental Budget - hwy'!$B$16:$AQ$90,AB$1,FALSE),0)+IF(ISNUMBER(VLOOKUP($B42,#REF!,AB$1,FALSE)),VLOOKUP($B42,#REF!,AB$1,FALSE),0)</f>
        <v>21841680.480619997</v>
      </c>
      <c r="AC42" s="98">
        <f>+IF(ISNUMBER(VLOOKUP($B42,'Cental Budget - hwy'!$B$16:$AQ$90,AC$1,FALSE)),VLOOKUP($B42,'Cental Budget - hwy'!$B$16:$AQ$90,AC$1,FALSE),0)+IF(ISNUMBER(VLOOKUP($B42,#REF!,AC$1,FALSE)),VLOOKUP($B42,#REF!,AC$1,FALSE),0)</f>
        <v>0.58840625807708558</v>
      </c>
      <c r="AD42" s="190">
        <f>+IF(ISNUMBER(VLOOKUP($B42,'Cental Budget - hwy'!$B$16:$AQ$90,AD$1,FALSE)),VLOOKUP($B42,'Cental Budget - hwy'!$B$16:$AQ$90,AD$1,FALSE),0)+IF(ISNUMBER(VLOOKUP($B42,#REF!,AD$1,FALSE)),VLOOKUP($B42,#REF!,AD$1,FALSE),0)</f>
        <v>0</v>
      </c>
      <c r="AE42" s="189">
        <f>+IF(ISNUMBER(VLOOKUP($B42,'Cental Budget - hwy'!$B$16:$AQ$90,AE$1,FALSE)),VLOOKUP($B42,'Cental Budget - hwy'!$B$16:$AQ$90,AE$1,FALSE),0)+IF(ISNUMBER(VLOOKUP($B42,#REF!,AE$1,FALSE)),VLOOKUP($B42,#REF!,AE$1,FALSE),0)</f>
        <v>21438849.168000001</v>
      </c>
      <c r="AF42" s="98">
        <f t="shared" si="11"/>
        <v>0.57755414138646155</v>
      </c>
      <c r="AG42" s="189">
        <f>+IF(ISNUMBER(VLOOKUP($B42,'Cental Budget - hwy'!$B$16:$AQ$90,AG$1,FALSE)),VLOOKUP($B42,'Cental Budget - hwy'!$B$16:$AQ$90,AG$1,FALSE),0)+IF(ISNUMBER(VLOOKUP($B42,#REF!,AG$1,FALSE)),VLOOKUP($B42,#REF!,AG$1,FALSE),0)</f>
        <v>21863522.161100615</v>
      </c>
      <c r="AH42" s="98">
        <f>+IF(ISNUMBER(VLOOKUP($B42,'Cental Budget - hwy'!$B$16:$AQ$90,AH$1,FALSE)),VLOOKUP($B42,'Cental Budget - hwy'!$B$16:$AQ$90,AH$1,FALSE),0)+IF(ISNUMBER(VLOOKUP($B42,#REF!,AH$1,FALSE)),VLOOKUP($B42,#REF!,AH$1,FALSE),0)</f>
        <v>0.55630611690577902</v>
      </c>
      <c r="AI42" s="190">
        <f>+IF(ISNUMBER(VLOOKUP($B42,'Cental Budget - hwy'!$B$16:$AQ$90,AI$1,FALSE)),VLOOKUP($B42,'Cental Budget - hwy'!$B$16:$AQ$90,AI$1,FALSE),0)+IF(ISNUMBER(VLOOKUP($B42,#REF!,AI$1,FALSE)),VLOOKUP($B42,#REF!,AI$1,FALSE),0)</f>
        <v>0</v>
      </c>
      <c r="AJ42" s="189">
        <f>+IF(ISNUMBER(VLOOKUP($B42,'Cental Budget - hwy'!$B$16:$AQ$90,AJ$1,FALSE)),VLOOKUP($B42,'Cental Budget - hwy'!$B$16:$AQ$90,AJ$1,FALSE),0)+IF(ISNUMBER(VLOOKUP($B42,#REF!,AJ$1,FALSE)),VLOOKUP($B42,#REF!,AJ$1,FALSE),0)</f>
        <v>20375568.87088</v>
      </c>
      <c r="AK42" s="98">
        <f t="shared" si="12"/>
        <v>0.51844590797327006</v>
      </c>
      <c r="AL42" s="189">
        <f>+IF(ISNUMBER(VLOOKUP($B42,'Cental Budget - hwy'!$B$16:$AQ$90,AL$1,FALSE)),VLOOKUP($B42,'Cental Budget - hwy'!$B$16:$AQ$90,AL$1,FALSE),0)+IF(ISNUMBER(VLOOKUP($B42,#REF!,AL$1,FALSE)),VLOOKUP($B42,#REF!,AL$1,FALSE),0)</f>
        <v>19764301.804753602</v>
      </c>
      <c r="AM42" s="98">
        <f t="shared" si="13"/>
        <v>0.4740691277659046</v>
      </c>
      <c r="AO42" s="105"/>
      <c r="AP42" s="106"/>
      <c r="AQ42" s="106"/>
      <c r="AR42" s="106"/>
      <c r="AS42" s="106"/>
      <c r="AT42" s="107"/>
      <c r="AU42" s="81"/>
      <c r="AV42" s="81"/>
      <c r="AW42" s="81"/>
      <c r="AX42" s="81"/>
      <c r="AY42" s="81"/>
      <c r="AZ42" s="81"/>
      <c r="BA42" s="81"/>
      <c r="BB42" s="81"/>
      <c r="BC42" s="81"/>
      <c r="BD42" s="81"/>
      <c r="BE42" s="81"/>
      <c r="BF42" s="81"/>
      <c r="BG42" s="81"/>
      <c r="DS42" s="198"/>
      <c r="DT42" s="198"/>
      <c r="DU42" s="176"/>
      <c r="DV42" s="176"/>
      <c r="DW42" s="176"/>
      <c r="DX42" s="175"/>
    </row>
    <row r="43" spans="1:128" ht="13.5" customHeight="1">
      <c r="B43" s="80">
        <v>416</v>
      </c>
      <c r="C43" s="94" t="s">
        <v>80</v>
      </c>
      <c r="D43" s="189">
        <f>+IF(ISNUMBER(VLOOKUP($B43,'Cental Budget - hwy'!$B$16:$AQ$90,D$1,FALSE)),VLOOKUP($B43,'Cental Budget - hwy'!$B$16:$AQ$90,D$1,FALSE),0)+IF(ISNUMBER(VLOOKUP($B43,#REF!,D$1,FALSE)),VLOOKUP($B43,#REF!,D$1,FALSE),0)</f>
        <v>23398994.059999999</v>
      </c>
      <c r="E43" s="98">
        <f t="shared" si="0"/>
        <v>1.0888824077434966</v>
      </c>
      <c r="F43" s="189">
        <f>+IF(ISNUMBER(VLOOKUP($B43,'Cental Budget - hwy'!$B$16:$AQ$90,F$1,FALSE)),VLOOKUP($B43,'Cental Budget - hwy'!$B$16:$AQ$90,F$1,FALSE),0)+IF(ISNUMBER(VLOOKUP($B43,#REF!,F$1,FALSE)),VLOOKUP($B43,#REF!,F$1,FALSE),0)</f>
        <v>27098929.48</v>
      </c>
      <c r="G43" s="98">
        <f t="shared" si="1"/>
        <v>1.0109654721134116</v>
      </c>
      <c r="H43" s="189">
        <f>+IF(ISNUMBER(VLOOKUP($B43,'Cental Budget - hwy'!$B$16:$AQ$90,H$1,FALSE)),VLOOKUP($B43,'Cental Budget - hwy'!$B$16:$AQ$90,H$1,FALSE),0)+IF(ISNUMBER(VLOOKUP($B43,#REF!,H$1,FALSE)),VLOOKUP($B43,#REF!,H$1,FALSE),0)</f>
        <v>22531993.84</v>
      </c>
      <c r="I43" s="98">
        <f t="shared" si="2"/>
        <v>0.73023054964998702</v>
      </c>
      <c r="J43" s="189">
        <f>+IF(ISNUMBER(VLOOKUP($B43,'Cental Budget - hwy'!$B$16:$AQ$90,J$1,FALSE)),VLOOKUP($B43,'Cental Budget - hwy'!$B$16:$AQ$90,J$1,FALSE),0)+IF(ISNUMBER(VLOOKUP($B43,#REF!,J$1,FALSE)),VLOOKUP($B43,#REF!,J$1,FALSE),0)</f>
        <v>24512028.640000001</v>
      </c>
      <c r="K43" s="98">
        <f t="shared" si="3"/>
        <v>0.82227536531365319</v>
      </c>
      <c r="L43" s="189">
        <f>+IF(ISNUMBER(VLOOKUP($B43,'Cental Budget - hwy'!$B$16:$AQ$90,L$1,FALSE)),VLOOKUP($B43,'Cental Budget - hwy'!$B$16:$AQ$90,L$1,FALSE),0)+IF(ISNUMBER(VLOOKUP($B43,#REF!,L$1,FALSE)),VLOOKUP($B43,#REF!,L$1,FALSE),0)</f>
        <v>30256278.469999999</v>
      </c>
      <c r="M43" s="98">
        <f t="shared" si="14"/>
        <v>0.97475123936855668</v>
      </c>
      <c r="N43" s="189">
        <f>+IF(ISNUMBER(VLOOKUP($B43,'Cental Budget - hwy'!$B$16:$AQ$90,N$1,FALSE)),VLOOKUP($B43,'Cental Budget - hwy'!$B$16:$AQ$90,N$1,FALSE),0)+IF(ISNUMBER(VLOOKUP($B43,#REF!,N$1,FALSE)),VLOOKUP($B43,#REF!,N$1,FALSE),0)</f>
        <v>45092350.030000001</v>
      </c>
      <c r="O43" s="98">
        <f t="shared" si="5"/>
        <v>1.3943212748917748</v>
      </c>
      <c r="P43" s="189">
        <f>+IF(ISNUMBER(VLOOKUP($B43,'Cental Budget - hwy'!$B$16:$AQ$90,P$1,FALSE)),VLOOKUP($B43,'Cental Budget - hwy'!$B$16:$AQ$90,P$1,FALSE),0)+IF(ISNUMBER(VLOOKUP($B43,#REF!,P$1,FALSE)),VLOOKUP($B43,#REF!,P$1,FALSE),0)</f>
        <v>56859854.539999999</v>
      </c>
      <c r="Q43" s="98">
        <f t="shared" si="6"/>
        <v>1.805647968879009</v>
      </c>
      <c r="R43" s="189">
        <f>+IF(ISNUMBER(VLOOKUP($B43,'Cental Budget - hwy'!$B$16:$AQ$90,R$1,FALSE)),VLOOKUP($B43,'Cental Budget - hwy'!$B$16:$AQ$90,R$1,FALSE),0)+IF(ISNUMBER(VLOOKUP($B43,#REF!,R$1,FALSE)),VLOOKUP($B43,#REF!,R$1,FALSE),0)</f>
        <v>67427730.789999992</v>
      </c>
      <c r="S43" s="98">
        <f t="shared" si="7"/>
        <v>2.0212788788462022</v>
      </c>
      <c r="T43" s="189">
        <f>+IF(ISNUMBER(VLOOKUP($B43,'Cental Budget - hwy'!$B$16:$AQ$90,T$1,FALSE)),VLOOKUP($B43,'Cental Budget - hwy'!$B$16:$AQ$90,T$1,FALSE),0)+IF(ISNUMBER(VLOOKUP($B43,#REF!,T$1,FALSE)),VLOOKUP($B43,#REF!,T$1,FALSE),0)</f>
        <v>73316123.120000005</v>
      </c>
      <c r="U43" s="98">
        <f t="shared" si="8"/>
        <v>2.0851209264565371</v>
      </c>
      <c r="V43" s="190">
        <f>+IF(ISNUMBER(VLOOKUP($B43,'Cental Budget - hwy'!$B$16:$AQ$90,V$1,FALSE)),VLOOKUP($B43,'Cental Budget - hwy'!$B$16:$AQ$90,V$1,FALSE),0)+IF(ISNUMBER(VLOOKUP($B43,#REF!,V$1,FALSE)),VLOOKUP($B43,#REF!,V$1,FALSE),0)</f>
        <v>0</v>
      </c>
      <c r="W43" s="190">
        <f>+IF(ISNUMBER(VLOOKUP($B43,'Cental Budget - hwy'!$B$16:$AQ$90,W$1,FALSE)),VLOOKUP($B43,'Cental Budget - hwy'!$B$16:$AQ$90,W$1,FALSE),0)+IF(ISNUMBER(VLOOKUP($B43,#REF!,W$1,FALSE)),VLOOKUP($B43,#REF!,W$1,FALSE),0)</f>
        <v>0</v>
      </c>
      <c r="X43" s="189">
        <f>+IF(ISNUMBER(VLOOKUP($B43,'Cental Budget - hwy'!$B$16:$AQ$90,X$1,FALSE)),VLOOKUP($B43,'Cental Budget - hwy'!$B$16:$AQ$90,X$1,FALSE),0)+IF(ISNUMBER(VLOOKUP($B43,#REF!,X$1,FALSE)),VLOOKUP($B43,#REF!,X$1,FALSE),0)</f>
        <v>73316123.120000005</v>
      </c>
      <c r="Y43" s="98">
        <f t="shared" si="9"/>
        <v>2.0851209264565371</v>
      </c>
      <c r="Z43" s="189">
        <f>+IF(ISNUMBER(VLOOKUP($B43,'Cental Budget - hwy'!$B$16:$AQ$90,Z$1,FALSE)),VLOOKUP($B43,'Cental Budget - hwy'!$B$16:$AQ$90,Z$1,FALSE),0)+IF(ISNUMBER(VLOOKUP($B43,#REF!,Z$1,FALSE)),VLOOKUP($B43,#REF!,Z$1,FALSE),0)</f>
        <v>0</v>
      </c>
      <c r="AA43" s="98">
        <f t="shared" si="15"/>
        <v>0</v>
      </c>
      <c r="AB43" s="189">
        <f>+IF(ISNUMBER(VLOOKUP($B43,'Cental Budget - hwy'!$B$16:$AQ$90,AB$1,FALSE)),VLOOKUP($B43,'Cental Budget - hwy'!$B$16:$AQ$90,AB$1,FALSE),0)+IF(ISNUMBER(VLOOKUP($B43,#REF!,AB$1,FALSE)),VLOOKUP($B43,#REF!,AB$1,FALSE),0)</f>
        <v>65209197.090000004</v>
      </c>
      <c r="AC43" s="98">
        <f>+IF(ISNUMBER(VLOOKUP($B43,'Cental Budget - hwy'!$B$16:$AQ$90,AC$1,FALSE)),VLOOKUP($B43,'Cental Budget - hwy'!$B$16:$AQ$90,AC$1,FALSE),0)+IF(ISNUMBER(VLOOKUP($B43,#REF!,AC$1,FALSE)),VLOOKUP($B43,#REF!,AC$1,FALSE),0)</f>
        <v>1.7567100519569969</v>
      </c>
      <c r="AD43" s="190">
        <f>+IF(ISNUMBER(VLOOKUP($B43,'Cental Budget - hwy'!$B$16:$AQ$90,AD$1,FALSE)),VLOOKUP($B43,'Cental Budget - hwy'!$B$16:$AQ$90,AD$1,FALSE),0)+IF(ISNUMBER(VLOOKUP($B43,#REF!,AD$1,FALSE)),VLOOKUP($B43,#REF!,AD$1,FALSE),0)</f>
        <v>0</v>
      </c>
      <c r="AE43" s="189">
        <f>+IF(ISNUMBER(VLOOKUP($B43,'Cental Budget - hwy'!$B$16:$AQ$90,AE$1,FALSE)),VLOOKUP($B43,'Cental Budget - hwy'!$B$16:$AQ$90,AE$1,FALSE),0)+IF(ISNUMBER(VLOOKUP($B43,#REF!,AE$1,FALSE)),VLOOKUP($B43,#REF!,AE$1,FALSE),0)</f>
        <v>73250000</v>
      </c>
      <c r="AF43" s="98">
        <f t="shared" si="11"/>
        <v>1.9733261111657403</v>
      </c>
      <c r="AG43" s="189">
        <f>+IF(ISNUMBER(VLOOKUP($B43,'Cental Budget - hwy'!$B$16:$AQ$90,AG$1,FALSE)),VLOOKUP($B43,'Cental Budget - hwy'!$B$16:$AQ$90,AG$1,FALSE),0)+IF(ISNUMBER(VLOOKUP($B43,#REF!,AG$1,FALSE)),VLOOKUP($B43,#REF!,AG$1,FALSE),0)</f>
        <v>77400000</v>
      </c>
      <c r="AH43" s="98">
        <f>+IF(ISNUMBER(VLOOKUP($B43,'Cental Budget - hwy'!$B$16:$AQ$90,AH$1,FALSE)),VLOOKUP($B43,'Cental Budget - hwy'!$B$16:$AQ$90,AH$1,FALSE),0)+IF(ISNUMBER(VLOOKUP($B43,#REF!,AH$1,FALSE)),VLOOKUP($B43,#REF!,AH$1,FALSE),0)</f>
        <v>1.9694033345238342</v>
      </c>
      <c r="AI43" s="190">
        <f>+IF(ISNUMBER(VLOOKUP($B43,'Cental Budget - hwy'!$B$16:$AQ$90,AI$1,FALSE)),VLOOKUP($B43,'Cental Budget - hwy'!$B$16:$AQ$90,AI$1,FALSE),0)+IF(ISNUMBER(VLOOKUP($B43,#REF!,AI$1,FALSE)),VLOOKUP($B43,#REF!,AI$1,FALSE),0)</f>
        <v>0</v>
      </c>
      <c r="AJ43" s="189">
        <f>+IF(ISNUMBER(VLOOKUP($B43,'Cental Budget - hwy'!$B$16:$AQ$90,AJ$1,FALSE)),VLOOKUP($B43,'Cental Budget - hwy'!$B$16:$AQ$90,AJ$1,FALSE),0)+IF(ISNUMBER(VLOOKUP($B43,#REF!,AJ$1,FALSE)),VLOOKUP($B43,#REF!,AJ$1,FALSE),0)</f>
        <v>71785000</v>
      </c>
      <c r="AK43" s="98">
        <f t="shared" si="12"/>
        <v>1.8265325370645145</v>
      </c>
      <c r="AL43" s="189">
        <f>+IF(ISNUMBER(VLOOKUP($B43,'Cental Budget - hwy'!$B$16:$AQ$90,AL$1,FALSE)),VLOOKUP($B43,'Cental Budget - hwy'!$B$16:$AQ$90,AL$1,FALSE),0)+IF(ISNUMBER(VLOOKUP($B43,#REF!,AL$1,FALSE)),VLOOKUP($B43,#REF!,AL$1,FALSE),0)</f>
        <v>70349300</v>
      </c>
      <c r="AM43" s="98">
        <f t="shared" si="13"/>
        <v>1.6874075097315449</v>
      </c>
      <c r="AO43" s="105"/>
      <c r="AP43" s="106"/>
      <c r="AQ43" s="106"/>
      <c r="AR43" s="106"/>
      <c r="AS43" s="106"/>
      <c r="AT43" s="107"/>
      <c r="AU43" s="81"/>
      <c r="AV43" s="81"/>
      <c r="AW43" s="81"/>
      <c r="AX43" s="81"/>
      <c r="AY43" s="81"/>
      <c r="AZ43" s="81"/>
      <c r="BA43" s="81"/>
      <c r="BB43" s="81"/>
      <c r="BC43" s="81"/>
      <c r="BD43" s="81"/>
      <c r="BE43" s="81"/>
      <c r="BF43" s="81"/>
      <c r="BG43" s="81"/>
      <c r="DS43" s="198"/>
      <c r="DT43" s="198"/>
      <c r="DU43" s="176"/>
      <c r="DV43" s="176"/>
      <c r="DW43" s="176"/>
      <c r="DX43" s="175"/>
    </row>
    <row r="44" spans="1:128" ht="13.5" customHeight="1">
      <c r="B44" s="80">
        <v>417</v>
      </c>
      <c r="C44" s="94" t="s">
        <v>82</v>
      </c>
      <c r="D44" s="189">
        <f>+IF(ISNUMBER(VLOOKUP($B44,'Cental Budget - hwy'!$B$16:$AQ$90,D$1,FALSE)),VLOOKUP($B44,'Cental Budget - hwy'!$B$16:$AQ$90,D$1,FALSE),0)+IF(ISNUMBER(VLOOKUP($B44,#REF!,D$1,FALSE)),VLOOKUP($B44,#REF!,D$1,FALSE),0)</f>
        <v>2663918.17</v>
      </c>
      <c r="E44" s="98">
        <f t="shared" si="0"/>
        <v>0.12396659546744847</v>
      </c>
      <c r="F44" s="189">
        <f>+IF(ISNUMBER(VLOOKUP($B44,'Cental Budget - hwy'!$B$16:$AQ$90,F$1,FALSE)),VLOOKUP($B44,'Cental Budget - hwy'!$B$16:$AQ$90,F$1,FALSE),0)+IF(ISNUMBER(VLOOKUP($B44,#REF!,F$1,FALSE)),VLOOKUP($B44,#REF!,F$1,FALSE),0)</f>
        <v>4927168.12</v>
      </c>
      <c r="G44" s="98">
        <f t="shared" si="1"/>
        <v>0.18381526282409999</v>
      </c>
      <c r="H44" s="189">
        <f>+IF(ISNUMBER(VLOOKUP($B44,'Cental Budget - hwy'!$B$16:$AQ$90,H$1,FALSE)),VLOOKUP($B44,'Cental Budget - hwy'!$B$16:$AQ$90,H$1,FALSE),0)+IF(ISNUMBER(VLOOKUP($B44,#REF!,H$1,FALSE)),VLOOKUP($B44,#REF!,H$1,FALSE),0)</f>
        <v>8361199.96</v>
      </c>
      <c r="I44" s="98">
        <f t="shared" si="2"/>
        <v>0.27097484962406015</v>
      </c>
      <c r="J44" s="189">
        <f>+IF(ISNUMBER(VLOOKUP($B44,'Cental Budget - hwy'!$B$16:$AQ$90,J$1,FALSE)),VLOOKUP($B44,'Cental Budget - hwy'!$B$16:$AQ$90,J$1,FALSE),0)+IF(ISNUMBER(VLOOKUP($B44,#REF!,J$1,FALSE)),VLOOKUP($B44,#REF!,J$1,FALSE),0)</f>
        <v>8038103.2300000004</v>
      </c>
      <c r="K44" s="98">
        <f t="shared" si="3"/>
        <v>0.26964452297886615</v>
      </c>
      <c r="L44" s="189">
        <f>+IF(ISNUMBER(VLOOKUP($B44,'Cental Budget - hwy'!$B$16:$AQ$90,L$1,FALSE)),VLOOKUP($B44,'Cental Budget - hwy'!$B$16:$AQ$90,L$1,FALSE),0)+IF(ISNUMBER(VLOOKUP($B44,#REF!,L$1,FALSE)),VLOOKUP($B44,#REF!,L$1,FALSE),0)</f>
        <v>8015830.71</v>
      </c>
      <c r="M44" s="98">
        <f t="shared" si="14"/>
        <v>0.25824196874999999</v>
      </c>
      <c r="N44" s="189">
        <f>+IF(ISNUMBER(VLOOKUP($B44,'Cental Budget - hwy'!$B$16:$AQ$90,N$1,FALSE)),VLOOKUP($B44,'Cental Budget - hwy'!$B$16:$AQ$90,N$1,FALSE),0)+IF(ISNUMBER(VLOOKUP($B44,#REF!,N$1,FALSE)),VLOOKUP($B44,#REF!,N$1,FALSE),0)</f>
        <v>7376287.9199999999</v>
      </c>
      <c r="O44" s="98">
        <f t="shared" si="5"/>
        <v>0.22808558812615953</v>
      </c>
      <c r="P44" s="189">
        <f>+IF(ISNUMBER(VLOOKUP($B44,'Cental Budget - hwy'!$B$16:$AQ$90,P$1,FALSE)),VLOOKUP($B44,'Cental Budget - hwy'!$B$16:$AQ$90,P$1,FALSE),0)+IF(ISNUMBER(VLOOKUP($B44,#REF!,P$1,FALSE)),VLOOKUP($B44,#REF!,P$1,FALSE),0)</f>
        <v>7110247.5800000001</v>
      </c>
      <c r="Q44" s="98">
        <f t="shared" si="6"/>
        <v>0.22579382597650047</v>
      </c>
      <c r="R44" s="189">
        <f>+IF(ISNUMBER(VLOOKUP($B44,'Cental Budget - hwy'!$B$16:$AQ$90,R$1,FALSE)),VLOOKUP($B44,'Cental Budget - hwy'!$B$16:$AQ$90,R$1,FALSE),0)+IF(ISNUMBER(VLOOKUP($B44,#REF!,R$1,FALSE)),VLOOKUP($B44,#REF!,R$1,FALSE),0)</f>
        <v>7928041.8100000005</v>
      </c>
      <c r="S44" s="98">
        <f t="shared" si="7"/>
        <v>0.23765864983757101</v>
      </c>
      <c r="T44" s="189">
        <f>+IF(ISNUMBER(VLOOKUP($B44,'Cental Budget - hwy'!$B$16:$AQ$90,T$1,FALSE)),VLOOKUP($B44,'Cental Budget - hwy'!$B$16:$AQ$90,T$1,FALSE),0)+IF(ISNUMBER(VLOOKUP($B44,#REF!,T$1,FALSE)),VLOOKUP($B44,#REF!,T$1,FALSE),0)</f>
        <v>8172802.1399999997</v>
      </c>
      <c r="U44" s="98">
        <f t="shared" si="8"/>
        <v>0.23243565050501225</v>
      </c>
      <c r="V44" s="190">
        <f>+IF(ISNUMBER(VLOOKUP($B44,'Cental Budget - hwy'!$B$16:$AQ$90,V$1,FALSE)),VLOOKUP($B44,'Cental Budget - hwy'!$B$16:$AQ$90,V$1,FALSE),0)+IF(ISNUMBER(VLOOKUP($B44,#REF!,V$1,FALSE)),VLOOKUP($B44,#REF!,V$1,FALSE),0)</f>
        <v>0</v>
      </c>
      <c r="W44" s="190">
        <f>+IF(ISNUMBER(VLOOKUP($B44,'Cental Budget - hwy'!$B$16:$AQ$90,W$1,FALSE)),VLOOKUP($B44,'Cental Budget - hwy'!$B$16:$AQ$90,W$1,FALSE),0)+IF(ISNUMBER(VLOOKUP($B44,#REF!,W$1,FALSE)),VLOOKUP($B44,#REF!,W$1,FALSE),0)</f>
        <v>0</v>
      </c>
      <c r="X44" s="189">
        <f>+IF(ISNUMBER(VLOOKUP($B44,'Cental Budget - hwy'!$B$16:$AQ$90,X$1,FALSE)),VLOOKUP($B44,'Cental Budget - hwy'!$B$16:$AQ$90,X$1,FALSE),0)+IF(ISNUMBER(VLOOKUP($B44,#REF!,X$1,FALSE)),VLOOKUP($B44,#REF!,X$1,FALSE),0)</f>
        <v>8172802.1399999997</v>
      </c>
      <c r="Y44" s="98">
        <f t="shared" si="9"/>
        <v>0.23243565050501225</v>
      </c>
      <c r="Z44" s="189">
        <f>+IF(ISNUMBER(VLOOKUP($B44,'Cental Budget - hwy'!$B$16:$AQ$90,Z$1,FALSE)),VLOOKUP($B44,'Cental Budget - hwy'!$B$16:$AQ$90,Z$1,FALSE),0)+IF(ISNUMBER(VLOOKUP($B44,#REF!,Z$1,FALSE)),VLOOKUP($B44,#REF!,Z$1,FALSE),0)</f>
        <v>0</v>
      </c>
      <c r="AA44" s="98">
        <f t="shared" si="15"/>
        <v>0</v>
      </c>
      <c r="AB44" s="189">
        <f>+IF(ISNUMBER(VLOOKUP($B44,'Cental Budget - hwy'!$B$16:$AQ$90,AB$1,FALSE)),VLOOKUP($B44,'Cental Budget - hwy'!$B$16:$AQ$90,AB$1,FALSE),0)+IF(ISNUMBER(VLOOKUP($B44,#REF!,AB$1,FALSE)),VLOOKUP($B44,#REF!,AB$1,FALSE),0)</f>
        <v>8134697.9313599998</v>
      </c>
      <c r="AC44" s="98">
        <f>+IF(ISNUMBER(VLOOKUP($B44,'Cental Budget - hwy'!$B$16:$AQ$90,AC$1,FALSE)),VLOOKUP($B44,'Cental Budget - hwy'!$B$16:$AQ$90,AC$1,FALSE),0)+IF(ISNUMBER(VLOOKUP($B44,#REF!,AC$1,FALSE)),VLOOKUP($B44,#REF!,AC$1,FALSE),0)</f>
        <v>0.2191455540532235</v>
      </c>
      <c r="AD44" s="190">
        <f>+IF(ISNUMBER(VLOOKUP($B44,'Cental Budget - hwy'!$B$16:$AQ$90,AD$1,FALSE)),VLOOKUP($B44,'Cental Budget - hwy'!$B$16:$AQ$90,AD$1,FALSE),0)+IF(ISNUMBER(VLOOKUP($B44,#REF!,AD$1,FALSE)),VLOOKUP($B44,#REF!,AD$1,FALSE),0)</f>
        <v>0</v>
      </c>
      <c r="AE44" s="189">
        <f>+IF(ISNUMBER(VLOOKUP($B44,'Cental Budget - hwy'!$B$16:$AQ$90,AE$1,FALSE)),VLOOKUP($B44,'Cental Budget - hwy'!$B$16:$AQ$90,AE$1,FALSE),0)+IF(ISNUMBER(VLOOKUP($B44,#REF!,AE$1,FALSE)),VLOOKUP($B44,#REF!,AE$1,FALSE),0)</f>
        <v>8091074.1185999997</v>
      </c>
      <c r="AF44" s="98">
        <f t="shared" si="11"/>
        <v>0.2179703457421257</v>
      </c>
      <c r="AG44" s="189">
        <f>+IF(ISNUMBER(VLOOKUP($B44,'Cental Budget - hwy'!$B$16:$AQ$90,AG$1,FALSE)),VLOOKUP($B44,'Cental Budget - hwy'!$B$16:$AQ$90,AG$1,FALSE),0)+IF(ISNUMBER(VLOOKUP($B44,#REF!,AG$1,FALSE)),VLOOKUP($B44,#REF!,AG$1,FALSE),0)</f>
        <v>8142832.6292913593</v>
      </c>
      <c r="AH44" s="98">
        <f>+IF(ISNUMBER(VLOOKUP($B44,'Cental Budget - hwy'!$B$16:$AQ$90,AH$1,FALSE)),VLOOKUP($B44,'Cental Budget - hwy'!$B$16:$AQ$90,AH$1,FALSE),0)+IF(ISNUMBER(VLOOKUP($B44,#REF!,AH$1,FALSE)),VLOOKUP($B44,#REF!,AH$1,FALSE),0)</f>
        <v>0.20719020326351267</v>
      </c>
      <c r="AI44" s="190">
        <f>+IF(ISNUMBER(VLOOKUP($B44,'Cental Budget - hwy'!$B$16:$AQ$90,AI$1,FALSE)),VLOOKUP($B44,'Cental Budget - hwy'!$B$16:$AQ$90,AI$1,FALSE),0)+IF(ISNUMBER(VLOOKUP($B44,#REF!,AI$1,FALSE)),VLOOKUP($B44,#REF!,AI$1,FALSE),0)</f>
        <v>0</v>
      </c>
      <c r="AJ44" s="189">
        <f>+IF(ISNUMBER(VLOOKUP($B44,'Cental Budget - hwy'!$B$16:$AQ$90,AJ$1,FALSE)),VLOOKUP($B44,'Cental Budget - hwy'!$B$16:$AQ$90,AJ$1,FALSE),0)+IF(ISNUMBER(VLOOKUP($B44,#REF!,AJ$1,FALSE)),VLOOKUP($B44,#REF!,AJ$1,FALSE),0)</f>
        <v>7689789.5335259996</v>
      </c>
      <c r="AK44" s="98">
        <f t="shared" si="12"/>
        <v>0.19566275386450363</v>
      </c>
      <c r="AL44" s="189">
        <f>+IF(ISNUMBER(VLOOKUP($B44,'Cental Budget - hwy'!$B$16:$AQ$90,AL$1,FALSE)),VLOOKUP($B44,'Cental Budget - hwy'!$B$16:$AQ$90,AL$1,FALSE),0)+IF(ISNUMBER(VLOOKUP($B44,#REF!,AL$1,FALSE)),VLOOKUP($B44,#REF!,AL$1,FALSE),0)</f>
        <v>7459095.8475202192</v>
      </c>
      <c r="AM44" s="98">
        <f t="shared" si="13"/>
        <v>0.17891484846207423</v>
      </c>
      <c r="AO44" s="105"/>
      <c r="AP44" s="106"/>
      <c r="AQ44" s="106"/>
      <c r="AR44" s="106"/>
      <c r="AS44" s="106"/>
      <c r="AT44" s="107"/>
      <c r="AU44" s="81"/>
      <c r="AV44" s="81"/>
      <c r="AW44" s="81"/>
      <c r="AX44" s="81"/>
      <c r="AY44" s="81"/>
      <c r="AZ44" s="81"/>
      <c r="BA44" s="81"/>
      <c r="BB44" s="81"/>
      <c r="BC44" s="81"/>
      <c r="BD44" s="81"/>
      <c r="BE44" s="81"/>
      <c r="BF44" s="81"/>
      <c r="BG44" s="81"/>
      <c r="DS44" s="198"/>
      <c r="DT44" s="198"/>
      <c r="DU44" s="176"/>
      <c r="DV44" s="176"/>
      <c r="DW44" s="176"/>
      <c r="DX44" s="175"/>
    </row>
    <row r="45" spans="1:128" ht="13.5" customHeight="1">
      <c r="B45" s="80">
        <v>418</v>
      </c>
      <c r="C45" s="94" t="s">
        <v>84</v>
      </c>
      <c r="D45" s="189">
        <f>+IF(ISNUMBER(VLOOKUP($B45,'Cental Budget - hwy'!$B$16:$AQ$90,D$1,FALSE)),VLOOKUP($B45,'Cental Budget - hwy'!$B$16:$AQ$90,D$1,FALSE),0)+IF(ISNUMBER(VLOOKUP($B45,#REF!,D$1,FALSE)),VLOOKUP($B45,#REF!,D$1,FALSE),0)</f>
        <v>6072666.8299999991</v>
      </c>
      <c r="E45" s="98">
        <f t="shared" si="0"/>
        <v>0.28259420308064587</v>
      </c>
      <c r="F45" s="189">
        <f>+IF(ISNUMBER(VLOOKUP($B45,'Cental Budget - hwy'!$B$16:$AQ$90,F$1,FALSE)),VLOOKUP($B45,'Cental Budget - hwy'!$B$16:$AQ$90,F$1,FALSE),0)+IF(ISNUMBER(VLOOKUP($B45,#REF!,F$1,FALSE)),VLOOKUP($B45,#REF!,F$1,FALSE),0)</f>
        <v>13072586.5</v>
      </c>
      <c r="G45" s="98">
        <f t="shared" si="1"/>
        <v>0.48769209102779337</v>
      </c>
      <c r="H45" s="189">
        <f>+IF(ISNUMBER(VLOOKUP($B45,'Cental Budget - hwy'!$B$16:$AQ$90,H$1,FALSE)),VLOOKUP($B45,'Cental Budget - hwy'!$B$16:$AQ$90,H$1,FALSE),0)+IF(ISNUMBER(VLOOKUP($B45,#REF!,H$1,FALSE)),VLOOKUP($B45,#REF!,H$1,FALSE),0)</f>
        <v>18592791.149999999</v>
      </c>
      <c r="I45" s="98">
        <f t="shared" si="2"/>
        <v>0.60256647491573756</v>
      </c>
      <c r="J45" s="189">
        <f>+IF(ISNUMBER(VLOOKUP($B45,'Cental Budget - hwy'!$B$16:$AQ$90,J$1,FALSE)),VLOOKUP($B45,'Cental Budget - hwy'!$B$16:$AQ$90,J$1,FALSE),0)+IF(ISNUMBER(VLOOKUP($B45,#REF!,J$1,FALSE)),VLOOKUP($B45,#REF!,J$1,FALSE),0)</f>
        <v>49824327.469999999</v>
      </c>
      <c r="K45" s="98">
        <f t="shared" si="3"/>
        <v>1.6713964263669909</v>
      </c>
      <c r="L45" s="189">
        <f>+IF(ISNUMBER(VLOOKUP($B45,'Cental Budget - hwy'!$B$16:$AQ$90,L$1,FALSE)),VLOOKUP($B45,'Cental Budget - hwy'!$B$16:$AQ$90,L$1,FALSE),0)+IF(ISNUMBER(VLOOKUP($B45,#REF!,L$1,FALSE)),VLOOKUP($B45,#REF!,L$1,FALSE),0)</f>
        <v>39035362.68</v>
      </c>
      <c r="M45" s="98">
        <f t="shared" si="14"/>
        <v>1.2575825605670103</v>
      </c>
      <c r="N45" s="189">
        <f>+IF(ISNUMBER(VLOOKUP($B45,'Cental Budget - hwy'!$B$16:$AQ$90,N$1,FALSE)),VLOOKUP($B45,'Cental Budget - hwy'!$B$16:$AQ$90,N$1,FALSE),0)+IF(ISNUMBER(VLOOKUP($B45,#REF!,N$1,FALSE)),VLOOKUP($B45,#REF!,N$1,FALSE),0)</f>
        <v>45400496.520000003</v>
      </c>
      <c r="O45" s="98">
        <f t="shared" si="5"/>
        <v>1.4038496141001857</v>
      </c>
      <c r="P45" s="189">
        <f>+IF(ISNUMBER(VLOOKUP($B45,'Cental Budget - hwy'!$B$16:$AQ$90,P$1,FALSE)),VLOOKUP($B45,'Cental Budget - hwy'!$B$16:$AQ$90,P$1,FALSE),0)+IF(ISNUMBER(VLOOKUP($B45,#REF!,P$1,FALSE)),VLOOKUP($B45,#REF!,P$1,FALSE),0)</f>
        <v>25853418.300000001</v>
      </c>
      <c r="Q45" s="98">
        <f t="shared" si="6"/>
        <v>0.82100407430930455</v>
      </c>
      <c r="R45" s="189">
        <f>+IF(ISNUMBER(VLOOKUP($B45,'Cental Budget - hwy'!$B$16:$AQ$90,R$1,FALSE)),VLOOKUP($B45,'Cental Budget - hwy'!$B$16:$AQ$90,R$1,FALSE),0)+IF(ISNUMBER(VLOOKUP($B45,#REF!,R$1,FALSE)),VLOOKUP($B45,#REF!,R$1,FALSE),0)</f>
        <v>17426749.959999997</v>
      </c>
      <c r="S45" s="98">
        <f t="shared" si="7"/>
        <v>0.52240111313824467</v>
      </c>
      <c r="T45" s="189">
        <f>+IF(ISNUMBER(VLOOKUP($B45,'Cental Budget - hwy'!$B$16:$AQ$90,T$1,FALSE)),VLOOKUP($B45,'Cental Budget - hwy'!$B$16:$AQ$90,T$1,FALSE),0)+IF(ISNUMBER(VLOOKUP($B45,#REF!,T$1,FALSE)),VLOOKUP($B45,#REF!,T$1,FALSE),0)</f>
        <v>18874600</v>
      </c>
      <c r="U45" s="98">
        <f t="shared" si="8"/>
        <v>0.53679629750854385</v>
      </c>
      <c r="V45" s="190">
        <f>+IF(ISNUMBER(VLOOKUP($B45,'Cental Budget - hwy'!$B$16:$AQ$90,V$1,FALSE)),VLOOKUP($B45,'Cental Budget - hwy'!$B$16:$AQ$90,V$1,FALSE),0)+IF(ISNUMBER(VLOOKUP($B45,#REF!,V$1,FALSE)),VLOOKUP($B45,#REF!,V$1,FALSE),0)</f>
        <v>0</v>
      </c>
      <c r="W45" s="190">
        <f>+IF(ISNUMBER(VLOOKUP($B45,'Cental Budget - hwy'!$B$16:$AQ$90,W$1,FALSE)),VLOOKUP($B45,'Cental Budget - hwy'!$B$16:$AQ$90,W$1,FALSE),0)+IF(ISNUMBER(VLOOKUP($B45,#REF!,W$1,FALSE)),VLOOKUP($B45,#REF!,W$1,FALSE),0)</f>
        <v>0</v>
      </c>
      <c r="X45" s="189">
        <f>+IF(ISNUMBER(VLOOKUP($B45,'Cental Budget - hwy'!$B$16:$AQ$90,X$1,FALSE)),VLOOKUP($B45,'Cental Budget - hwy'!$B$16:$AQ$90,X$1,FALSE),0)+IF(ISNUMBER(VLOOKUP($B45,#REF!,X$1,FALSE)),VLOOKUP($B45,#REF!,X$1,FALSE),0)</f>
        <v>18874600</v>
      </c>
      <c r="Y45" s="98">
        <f t="shared" si="9"/>
        <v>0.53679629750854385</v>
      </c>
      <c r="Z45" s="189">
        <f>+IF(ISNUMBER(VLOOKUP($B45,'Cental Budget - hwy'!$B$16:$AQ$90,Z$1,FALSE)),VLOOKUP($B45,'Cental Budget - hwy'!$B$16:$AQ$90,Z$1,FALSE),0)+IF(ISNUMBER(VLOOKUP($B45,#REF!,Z$1,FALSE)),VLOOKUP($B45,#REF!,Z$1,FALSE),0)</f>
        <v>0</v>
      </c>
      <c r="AA45" s="98">
        <f t="shared" si="15"/>
        <v>0</v>
      </c>
      <c r="AB45" s="189">
        <f>+IF(ISNUMBER(VLOOKUP($B45,'Cental Budget - hwy'!$B$16:$AQ$90,AB$1,FALSE)),VLOOKUP($B45,'Cental Budget - hwy'!$B$16:$AQ$90,AB$1,FALSE),0)+IF(ISNUMBER(VLOOKUP($B45,#REF!,AB$1,FALSE)),VLOOKUP($B45,#REF!,AB$1,FALSE),0)</f>
        <v>11960120</v>
      </c>
      <c r="AC45" s="98">
        <f>+IF(ISNUMBER(VLOOKUP($B45,'Cental Budget - hwy'!$B$16:$AQ$90,AC$1,FALSE)),VLOOKUP($B45,'Cental Budget - hwy'!$B$16:$AQ$90,AC$1,FALSE),0)+IF(ISNUMBER(VLOOKUP($B45,#REF!,AC$1,FALSE)),VLOOKUP($B45,#REF!,AC$1,FALSE),0)</f>
        <v>0.32220091588635624</v>
      </c>
      <c r="AD45" s="190">
        <f>+IF(ISNUMBER(VLOOKUP($B45,'Cental Budget - hwy'!$B$16:$AQ$90,AD$1,FALSE)),VLOOKUP($B45,'Cental Budget - hwy'!$B$16:$AQ$90,AD$1,FALSE),0)+IF(ISNUMBER(VLOOKUP($B45,#REF!,AD$1,FALSE)),VLOOKUP($B45,#REF!,AD$1,FALSE),0)</f>
        <v>0</v>
      </c>
      <c r="AE45" s="189">
        <f>+IF(ISNUMBER(VLOOKUP($B45,'Cental Budget - hwy'!$B$16:$AQ$90,AE$1,FALSE)),VLOOKUP($B45,'Cental Budget - hwy'!$B$16:$AQ$90,AE$1,FALSE),0)+IF(ISNUMBER(VLOOKUP($B45,#REF!,AE$1,FALSE)),VLOOKUP($B45,#REF!,AE$1,FALSE),0)</f>
        <v>18685854</v>
      </c>
      <c r="AF45" s="98">
        <f t="shared" si="11"/>
        <v>0.50338953730553992</v>
      </c>
      <c r="AG45" s="189">
        <f>+IF(ISNUMBER(VLOOKUP($B45,'Cental Budget - hwy'!$B$16:$AQ$90,AG$1,FALSE)),VLOOKUP($B45,'Cental Budget - hwy'!$B$16:$AQ$90,AG$1,FALSE),0)+IF(ISNUMBER(VLOOKUP($B45,#REF!,AG$1,FALSE)),VLOOKUP($B45,#REF!,AG$1,FALSE),0)</f>
        <v>11362114</v>
      </c>
      <c r="AH45" s="98">
        <f>+IF(ISNUMBER(VLOOKUP($B45,'Cental Budget - hwy'!$B$16:$AQ$90,AH$1,FALSE)),VLOOKUP($B45,'Cental Budget - hwy'!$B$16:$AQ$90,AH$1,FALSE),0)+IF(ISNUMBER(VLOOKUP($B45,#REF!,AH$1,FALSE)),VLOOKUP($B45,#REF!,AH$1,FALSE),0)</f>
        <v>0.28910316794366847</v>
      </c>
      <c r="AI45" s="190">
        <f>+IF(ISNUMBER(VLOOKUP($B45,'Cental Budget - hwy'!$B$16:$AQ$90,AI$1,FALSE)),VLOOKUP($B45,'Cental Budget - hwy'!$B$16:$AQ$90,AI$1,FALSE),0)+IF(ISNUMBER(VLOOKUP($B45,#REF!,AI$1,FALSE)),VLOOKUP($B45,#REF!,AI$1,FALSE),0)</f>
        <v>0</v>
      </c>
      <c r="AJ45" s="189">
        <f>+IF(ISNUMBER(VLOOKUP($B45,'Cental Budget - hwy'!$B$16:$AQ$90,AJ$1,FALSE)),VLOOKUP($B45,'Cental Budget - hwy'!$B$16:$AQ$90,AJ$1,FALSE),0)+IF(ISNUMBER(VLOOKUP($B45,#REF!,AJ$1,FALSE)),VLOOKUP($B45,#REF!,AJ$1,FALSE),0)</f>
        <v>17759111.140000001</v>
      </c>
      <c r="AK45" s="98">
        <f t="shared" si="12"/>
        <v>0.45187148187720122</v>
      </c>
      <c r="AL45" s="189">
        <f>+IF(ISNUMBER(VLOOKUP($B45,'Cental Budget - hwy'!$B$16:$AQ$90,AL$1,FALSE)),VLOOKUP($B45,'Cental Budget - hwy'!$B$16:$AQ$90,AL$1,FALSE),0)+IF(ISNUMBER(VLOOKUP($B45,#REF!,AL$1,FALSE)),VLOOKUP($B45,#REF!,AL$1,FALSE),0)</f>
        <v>17226337.805799998</v>
      </c>
      <c r="AM45" s="98">
        <f t="shared" si="13"/>
        <v>0.41319319138469524</v>
      </c>
      <c r="AO45" s="105"/>
      <c r="AP45" s="106"/>
      <c r="AQ45" s="106"/>
      <c r="AR45" s="106"/>
      <c r="AS45" s="106"/>
      <c r="AT45" s="107"/>
      <c r="AU45" s="81"/>
      <c r="AV45" s="81"/>
      <c r="AW45" s="81"/>
      <c r="AX45" s="81"/>
      <c r="AY45" s="81"/>
      <c r="AZ45" s="81"/>
      <c r="BA45" s="81"/>
      <c r="BB45" s="81"/>
      <c r="BC45" s="81"/>
      <c r="BD45" s="81"/>
      <c r="BE45" s="81"/>
      <c r="BF45" s="81"/>
      <c r="BG45" s="81"/>
      <c r="DS45" s="198"/>
      <c r="DT45" s="198"/>
      <c r="DU45" s="176"/>
      <c r="DV45" s="176"/>
      <c r="DW45" s="176"/>
      <c r="DX45" s="175"/>
    </row>
    <row r="46" spans="1:128" ht="13.5" customHeight="1">
      <c r="B46" s="80">
        <v>419</v>
      </c>
      <c r="C46" s="94" t="s">
        <v>86</v>
      </c>
      <c r="D46" s="189">
        <f>+IF(ISNUMBER(VLOOKUP($B46,'Cental Budget - hwy'!$B$16:$AQ$90,D$1,FALSE)),VLOOKUP($B46,'Cental Budget - hwy'!$B$16:$AQ$90,D$1,FALSE),0)+IF(ISNUMBER(VLOOKUP($B46,#REF!,D$1,FALSE)),VLOOKUP($B46,#REF!,D$1,FALSE),0)</f>
        <v>3904147.64</v>
      </c>
      <c r="E46" s="98">
        <f t="shared" si="0"/>
        <v>0.18168121550560754</v>
      </c>
      <c r="F46" s="189">
        <f>+IF(ISNUMBER(VLOOKUP($B46,'Cental Budget - hwy'!$B$16:$AQ$90,F$1,FALSE)),VLOOKUP($B46,'Cental Budget - hwy'!$B$16:$AQ$90,F$1,FALSE),0)+IF(ISNUMBER(VLOOKUP($B46,#REF!,F$1,FALSE)),VLOOKUP($B46,#REF!,F$1,FALSE),0)</f>
        <v>5748223.0299999993</v>
      </c>
      <c r="G46" s="98">
        <f t="shared" si="1"/>
        <v>0.21444592538705462</v>
      </c>
      <c r="H46" s="189">
        <f>+IF(ISNUMBER(VLOOKUP($B46,'Cental Budget - hwy'!$B$16:$AQ$90,H$1,FALSE)),VLOOKUP($B46,'Cental Budget - hwy'!$B$16:$AQ$90,H$1,FALSE),0)+IF(ISNUMBER(VLOOKUP($B46,#REF!,H$1,FALSE)),VLOOKUP($B46,#REF!,H$1,FALSE),0)</f>
        <v>5738203.1799999997</v>
      </c>
      <c r="I46" s="98">
        <f t="shared" si="2"/>
        <v>0.18596717591392273</v>
      </c>
      <c r="J46" s="189">
        <f>+IF(ISNUMBER(VLOOKUP($B46,'Cental Budget - hwy'!$B$16:$AQ$90,J$1,FALSE)),VLOOKUP($B46,'Cental Budget - hwy'!$B$16:$AQ$90,J$1,FALSE),0)+IF(ISNUMBER(VLOOKUP($B46,#REF!,J$1,FALSE)),VLOOKUP($B46,#REF!,J$1,FALSE),0)</f>
        <v>7631912.3799999999</v>
      </c>
      <c r="K46" s="98">
        <f t="shared" si="3"/>
        <v>0.25601853002348207</v>
      </c>
      <c r="L46" s="189">
        <f>+IF(ISNUMBER(VLOOKUP($B46,'Cental Budget - hwy'!$B$16:$AQ$90,L$1,FALSE)),VLOOKUP($B46,'Cental Budget - hwy'!$B$16:$AQ$90,L$1,FALSE),0)+IF(ISNUMBER(VLOOKUP($B46,#REF!,L$1,FALSE)),VLOOKUP($B46,#REF!,L$1,FALSE),0)</f>
        <v>5231302.66</v>
      </c>
      <c r="M46" s="98">
        <f t="shared" si="14"/>
        <v>0.16853423518041238</v>
      </c>
      <c r="N46" s="189">
        <f>+IF(ISNUMBER(VLOOKUP($B46,'Cental Budget - hwy'!$B$16:$AQ$90,N$1,FALSE)),VLOOKUP($B46,'Cental Budget - hwy'!$B$16:$AQ$90,N$1,FALSE),0)+IF(ISNUMBER(VLOOKUP($B46,#REF!,N$1,FALSE)),VLOOKUP($B46,#REF!,N$1,FALSE),0)</f>
        <v>5518538.25</v>
      </c>
      <c r="O46" s="98">
        <f t="shared" si="5"/>
        <v>0.17064125695732837</v>
      </c>
      <c r="P46" s="189">
        <f>+IF(ISNUMBER(VLOOKUP($B46,'Cental Budget - hwy'!$B$16:$AQ$90,P$1,FALSE)),VLOOKUP($B46,'Cental Budget - hwy'!$B$16:$AQ$90,P$1,FALSE),0)+IF(ISNUMBER(VLOOKUP($B46,#REF!,P$1,FALSE)),VLOOKUP($B46,#REF!,P$1,FALSE),0)</f>
        <v>6046195.5600000005</v>
      </c>
      <c r="Q46" s="98">
        <f t="shared" si="6"/>
        <v>0.19200366973642427</v>
      </c>
      <c r="R46" s="189">
        <f>+IF(ISNUMBER(VLOOKUP($B46,'Cental Budget - hwy'!$B$16:$AQ$90,R$1,FALSE)),VLOOKUP($B46,'Cental Budget - hwy'!$B$16:$AQ$90,R$1,FALSE),0)+IF(ISNUMBER(VLOOKUP($B46,#REF!,R$1,FALSE)),VLOOKUP($B46,#REF!,R$1,FALSE),0)</f>
        <v>6279093.0100000007</v>
      </c>
      <c r="S46" s="98">
        <f t="shared" si="7"/>
        <v>0.18822816563339112</v>
      </c>
      <c r="T46" s="189">
        <f>+IF(ISNUMBER(VLOOKUP($B46,'Cental Budget - hwy'!$B$16:$AQ$90,T$1,FALSE)),VLOOKUP($B46,'Cental Budget - hwy'!$B$16:$AQ$90,T$1,FALSE),0)+IF(ISNUMBER(VLOOKUP($B46,#REF!,T$1,FALSE)),VLOOKUP($B46,#REF!,T$1,FALSE),0)</f>
        <v>25049575.370000001</v>
      </c>
      <c r="U46" s="98">
        <f t="shared" si="8"/>
        <v>0.71241347169090818</v>
      </c>
      <c r="V46" s="190">
        <f>+IF(ISNUMBER(VLOOKUP($B46,'Cental Budget - hwy'!$B$16:$AQ$90,V$1,FALSE)),VLOOKUP($B46,'Cental Budget - hwy'!$B$16:$AQ$90,V$1,FALSE),0)+IF(ISNUMBER(VLOOKUP($B46,#REF!,V$1,FALSE)),VLOOKUP($B46,#REF!,V$1,FALSE),0)</f>
        <v>0</v>
      </c>
      <c r="W46" s="190">
        <f>+IF(ISNUMBER(VLOOKUP($B46,'Cental Budget - hwy'!$B$16:$AQ$90,W$1,FALSE)),VLOOKUP($B46,'Cental Budget - hwy'!$B$16:$AQ$90,W$1,FALSE),0)+IF(ISNUMBER(VLOOKUP($B46,#REF!,W$1,FALSE)),VLOOKUP($B46,#REF!,W$1,FALSE),0)</f>
        <v>0</v>
      </c>
      <c r="X46" s="189">
        <f>+IF(ISNUMBER(VLOOKUP($B46,'Cental Budget - hwy'!$B$16:$AQ$90,X$1,FALSE)),VLOOKUP($B46,'Cental Budget - hwy'!$B$16:$AQ$90,X$1,FALSE),0)+IF(ISNUMBER(VLOOKUP($B46,#REF!,X$1,FALSE)),VLOOKUP($B46,#REF!,X$1,FALSE),0)</f>
        <v>25049575.370000001</v>
      </c>
      <c r="Y46" s="98">
        <f t="shared" si="9"/>
        <v>0.71241347169090818</v>
      </c>
      <c r="Z46" s="189">
        <f>+IF(ISNUMBER(VLOOKUP($B46,'Cental Budget - hwy'!$B$16:$AQ$90,Z$1,FALSE)),VLOOKUP($B46,'Cental Budget - hwy'!$B$16:$AQ$90,Z$1,FALSE),0)+IF(ISNUMBER(VLOOKUP($B46,#REF!,Z$1,FALSE)),VLOOKUP($B46,#REF!,Z$1,FALSE),0)</f>
        <v>0</v>
      </c>
      <c r="AA46" s="98">
        <f t="shared" si="15"/>
        <v>0</v>
      </c>
      <c r="AB46" s="189">
        <f>+IF(ISNUMBER(VLOOKUP($B46,'Cental Budget - hwy'!$B$16:$AQ$90,AB$1,FALSE)),VLOOKUP($B46,'Cental Budget - hwy'!$B$16:$AQ$90,AB$1,FALSE),0)+IF(ISNUMBER(VLOOKUP($B46,#REF!,AB$1,FALSE)),VLOOKUP($B46,#REF!,AB$1,FALSE),0)</f>
        <v>5413380.4779999992</v>
      </c>
      <c r="AC46" s="98">
        <f>+IF(ISNUMBER(VLOOKUP($B46,'Cental Budget - hwy'!$B$16:$AQ$90,AC$1,FALSE)),VLOOKUP($B46,'Cental Budget - hwy'!$B$16:$AQ$90,AC$1,FALSE),0)+IF(ISNUMBER(VLOOKUP($B46,#REF!,AC$1,FALSE)),VLOOKUP($B46,#REF!,AC$1,FALSE),0)</f>
        <v>0.14583433511143037</v>
      </c>
      <c r="AD46" s="190">
        <f>+IF(ISNUMBER(VLOOKUP($B46,'Cental Budget - hwy'!$B$16:$AQ$90,AD$1,FALSE)),VLOOKUP($B46,'Cental Budget - hwy'!$B$16:$AQ$90,AD$1,FALSE),0)+IF(ISNUMBER(VLOOKUP($B46,#REF!,AD$1,FALSE)),VLOOKUP($B46,#REF!,AD$1,FALSE),0)</f>
        <v>0</v>
      </c>
      <c r="AE46" s="189">
        <f>+IF(ISNUMBER(VLOOKUP($B46,'Cental Budget - hwy'!$B$16:$AQ$90,AE$1,FALSE)),VLOOKUP($B46,'Cental Budget - hwy'!$B$16:$AQ$90,AE$1,FALSE),0)+IF(ISNUMBER(VLOOKUP($B46,#REF!,AE$1,FALSE)),VLOOKUP($B46,#REF!,AE$1,FALSE),0)</f>
        <v>24799079.616300002</v>
      </c>
      <c r="AF46" s="98">
        <f t="shared" si="11"/>
        <v>0.66807742443307661</v>
      </c>
      <c r="AG46" s="189">
        <f>+IF(ISNUMBER(VLOOKUP($B46,'Cental Budget - hwy'!$B$16:$AQ$90,AG$1,FALSE)),VLOOKUP($B46,'Cental Budget - hwy'!$B$16:$AQ$90,AG$1,FALSE),0)+IF(ISNUMBER(VLOOKUP($B46,#REF!,AG$1,FALSE)),VLOOKUP($B46,#REF!,AG$1,FALSE),0)</f>
        <v>5142711.4540999988</v>
      </c>
      <c r="AH46" s="98">
        <f>+IF(ISNUMBER(VLOOKUP($B46,'Cental Budget - hwy'!$B$16:$AQ$90,AH$1,FALSE)),VLOOKUP($B46,'Cental Budget - hwy'!$B$16:$AQ$90,AH$1,FALSE),0)+IF(ISNUMBER(VLOOKUP($B46,#REF!,AH$1,FALSE)),VLOOKUP($B46,#REF!,AH$1,FALSE),0)</f>
        <v>0.13085365744442445</v>
      </c>
      <c r="AI46" s="190">
        <f>+IF(ISNUMBER(VLOOKUP($B46,'Cental Budget - hwy'!$B$16:$AQ$90,AI$1,FALSE)),VLOOKUP($B46,'Cental Budget - hwy'!$B$16:$AQ$90,AI$1,FALSE),0)+IF(ISNUMBER(VLOOKUP($B46,#REF!,AI$1,FALSE)),VLOOKUP($B46,#REF!,AI$1,FALSE),0)</f>
        <v>0</v>
      </c>
      <c r="AJ46" s="189">
        <f>+IF(ISNUMBER(VLOOKUP($B46,'Cental Budget - hwy'!$B$16:$AQ$90,AJ$1,FALSE)),VLOOKUP($B46,'Cental Budget - hwy'!$B$16:$AQ$90,AJ$1,FALSE),0)+IF(ISNUMBER(VLOOKUP($B46,#REF!,AJ$1,FALSE)),VLOOKUP($B46,#REF!,AJ$1,FALSE),0)</f>
        <v>23569145.465632997</v>
      </c>
      <c r="AK46" s="98">
        <f t="shared" si="12"/>
        <v>0.59970482780226009</v>
      </c>
      <c r="AL46" s="189">
        <f>+IF(ISNUMBER(VLOOKUP($B46,'Cental Budget - hwy'!$B$16:$AQ$90,AL$1,FALSE)),VLOOKUP($B46,'Cental Budget - hwy'!$B$16:$AQ$90,AL$1,FALSE),0)+IF(ISNUMBER(VLOOKUP($B46,#REF!,AL$1,FALSE)),VLOOKUP($B46,#REF!,AL$1,FALSE),0)</f>
        <v>22862071.101664007</v>
      </c>
      <c r="AM46" s="98">
        <f t="shared" si="13"/>
        <v>0.54837262723245828</v>
      </c>
      <c r="AO46" s="105"/>
      <c r="AP46" s="106"/>
      <c r="AQ46" s="106"/>
      <c r="AR46" s="106"/>
      <c r="AS46" s="106"/>
      <c r="AT46" s="107"/>
      <c r="AU46" s="81"/>
      <c r="AV46" s="81"/>
      <c r="AW46" s="81"/>
      <c r="AX46" s="81"/>
      <c r="AY46" s="81"/>
      <c r="AZ46" s="81"/>
      <c r="BA46" s="81"/>
      <c r="BB46" s="81"/>
      <c r="BC46" s="81"/>
      <c r="BD46" s="81"/>
      <c r="BE46" s="81"/>
      <c r="BF46" s="81"/>
      <c r="BG46" s="81"/>
      <c r="DS46" s="198"/>
      <c r="DT46" s="198"/>
      <c r="DU46" s="176"/>
      <c r="DV46" s="176"/>
      <c r="DW46" s="176"/>
      <c r="DX46" s="175"/>
    </row>
    <row r="47" spans="1:128" ht="13.5" customHeight="1">
      <c r="B47" s="80">
        <v>441</v>
      </c>
      <c r="C47" s="94" t="s">
        <v>130</v>
      </c>
      <c r="D47" s="189">
        <f>+IF(ISNUMBER(VLOOKUP($B47,'Cental Budget - hwy'!$B$16:$AQ$90,D$1,FALSE)),VLOOKUP($B47,'Cental Budget - hwy'!$B$16:$AQ$90,D$1,FALSE),0)+IF(ISNUMBER(VLOOKUP($B47,#REF!,D$1,FALSE)),VLOOKUP($B47,#REF!,D$1,FALSE),0)</f>
        <v>40141835.139999993</v>
      </c>
      <c r="E47" s="98">
        <f t="shared" si="0"/>
        <v>1.8680178295872305</v>
      </c>
      <c r="F47" s="189">
        <f>+IF(ISNUMBER(VLOOKUP($B47,'Cental Budget - hwy'!$B$16:$AQ$90,F$1,FALSE)),VLOOKUP($B47,'Cental Budget - hwy'!$B$16:$AQ$90,F$1,FALSE),0)+IF(ISNUMBER(VLOOKUP($B47,#REF!,F$1,FALSE)),VLOOKUP($B47,#REF!,F$1,FALSE),0)</f>
        <v>0</v>
      </c>
      <c r="G47" s="98">
        <f t="shared" si="1"/>
        <v>0</v>
      </c>
      <c r="H47" s="189">
        <f>+IF(ISNUMBER(VLOOKUP($B47,'Cental Budget - hwy'!$B$16:$AQ$90,H$1,FALSE)),VLOOKUP($B47,'Cental Budget - hwy'!$B$16:$AQ$90,H$1,FALSE),0)+IF(ISNUMBER(VLOOKUP($B47,#REF!,H$1,FALSE)),VLOOKUP($B47,#REF!,H$1,FALSE),0)</f>
        <v>75166022.909999996</v>
      </c>
      <c r="I47" s="98">
        <f t="shared" si="2"/>
        <v>2.4360261508296603</v>
      </c>
      <c r="J47" s="189">
        <f>+IF(ISNUMBER(VLOOKUP($B47,'Cental Budget - hwy'!$B$16:$AQ$90,J$1,FALSE)),VLOOKUP($B47,'Cental Budget - hwy'!$B$16:$AQ$90,J$1,FALSE),0)+IF(ISNUMBER(VLOOKUP($B47,#REF!,J$1,FALSE)),VLOOKUP($B47,#REF!,J$1,FALSE),0)</f>
        <v>26511453.920000002</v>
      </c>
      <c r="K47" s="98">
        <f t="shared" si="3"/>
        <v>0.88934766588393155</v>
      </c>
      <c r="L47" s="189">
        <f>+IF(ISNUMBER(VLOOKUP($B47,'Cental Budget - hwy'!$B$16:$AQ$90,L$1,FALSE)),VLOOKUP($B47,'Cental Budget - hwy'!$B$16:$AQ$90,L$1,FALSE),0)+IF(ISNUMBER(VLOOKUP($B47,#REF!,L$1,FALSE)),VLOOKUP($B47,#REF!,L$1,FALSE),0)</f>
        <v>19371879.949999999</v>
      </c>
      <c r="M47" s="98">
        <f t="shared" si="14"/>
        <v>0.62409407055412369</v>
      </c>
      <c r="N47" s="189">
        <f>+IF(ISNUMBER(VLOOKUP($B47,'Cental Budget - hwy'!$B$16:$AQ$90,N$1,FALSE)),VLOOKUP($B47,'Cental Budget - hwy'!$B$16:$AQ$90,N$1,FALSE),0)+IF(ISNUMBER(VLOOKUP($B47,#REF!,N$1,FALSE)),VLOOKUP($B47,#REF!,N$1,FALSE),0)</f>
        <v>17010992.290000129</v>
      </c>
      <c r="O47" s="98">
        <f t="shared" si="5"/>
        <v>0.52600470902907015</v>
      </c>
      <c r="P47" s="189">
        <f>+IF(ISNUMBER(VLOOKUP($B47,'Cental Budget - hwy'!$B$16:$AQ$90,P$1,FALSE)),VLOOKUP($B47,'Cental Budget - hwy'!$B$16:$AQ$90,P$1,FALSE),0)+IF(ISNUMBER(VLOOKUP($B47,#REF!,P$1,FALSE)),VLOOKUP($B47,#REF!,P$1,FALSE),0)</f>
        <v>13391039.780000195</v>
      </c>
      <c r="Q47" s="98">
        <f t="shared" si="6"/>
        <v>0.42524737313433458</v>
      </c>
      <c r="R47" s="189">
        <f>+IF(ISNUMBER(VLOOKUP($B47,'Cental Budget - hwy'!$B$16:$AQ$90,R$1,FALSE)),VLOOKUP($B47,'Cental Budget - hwy'!$B$16:$AQ$90,R$1,FALSE),0)+IF(ISNUMBER(VLOOKUP($B47,#REF!,R$1,FALSE)),VLOOKUP($B47,#REF!,R$1,FALSE),0)</f>
        <v>12216538.75</v>
      </c>
      <c r="S47" s="98">
        <f t="shared" si="7"/>
        <v>0.36621478223679643</v>
      </c>
      <c r="T47" s="189">
        <f>+IF(ISNUMBER(VLOOKUP($B47,'Cental Budget - hwy'!$B$16:$AQ$90,T$1,FALSE)),VLOOKUP($B47,'Cental Budget - hwy'!$B$16:$AQ$90,T$1,FALSE),0)+IF(ISNUMBER(VLOOKUP($B47,#REF!,T$1,FALSE)),VLOOKUP($B47,#REF!,T$1,FALSE),0)</f>
        <v>10502963.32</v>
      </c>
      <c r="U47" s="98">
        <f t="shared" si="8"/>
        <v>0.2987057645218465</v>
      </c>
      <c r="V47" s="190">
        <f>+IF(ISNUMBER(VLOOKUP($B47,'Cental Budget - hwy'!$B$16:$AQ$90,V$1,FALSE)),VLOOKUP($B47,'Cental Budget - hwy'!$B$16:$AQ$90,V$1,FALSE),0)+IF(ISNUMBER(VLOOKUP($B47,#REF!,V$1,FALSE)),VLOOKUP($B47,#REF!,V$1,FALSE),0)</f>
        <v>0</v>
      </c>
      <c r="W47" s="190">
        <f>+IF(ISNUMBER(VLOOKUP($B47,'Cental Budget - hwy'!$B$16:$AQ$90,W$1,FALSE)),VLOOKUP($B47,'Cental Budget - hwy'!$B$16:$AQ$90,W$1,FALSE),0)+IF(ISNUMBER(VLOOKUP($B47,#REF!,W$1,FALSE)),VLOOKUP($B47,#REF!,W$1,FALSE),0)</f>
        <v>0</v>
      </c>
      <c r="X47" s="189">
        <f>+IF(ISNUMBER(VLOOKUP($B47,'Cental Budget - hwy'!$B$16:$AQ$90,X$1,FALSE)),VLOOKUP($B47,'Cental Budget - hwy'!$B$16:$AQ$90,X$1,FALSE),0)+IF(ISNUMBER(VLOOKUP($B47,#REF!,X$1,FALSE)),VLOOKUP($B47,#REF!,X$1,FALSE),0)</f>
        <v>10502963.32</v>
      </c>
      <c r="Y47" s="98">
        <f t="shared" si="9"/>
        <v>0.2987057645218465</v>
      </c>
      <c r="Z47" s="189">
        <f>+IF(ISNUMBER(VLOOKUP($B47,'Cental Budget - hwy'!$B$16:$AQ$90,Z$1,FALSE)),VLOOKUP($B47,'Cental Budget - hwy'!$B$16:$AQ$90,Z$1,FALSE),0)+IF(ISNUMBER(VLOOKUP($B47,#REF!,Z$1,FALSE)),VLOOKUP($B47,#REF!,Z$1,FALSE),0)</f>
        <v>0</v>
      </c>
      <c r="AA47" s="98">
        <f t="shared" si="15"/>
        <v>0</v>
      </c>
      <c r="AB47" s="189">
        <f>+IF(ISNUMBER(VLOOKUP($B47,'Cental Budget - hwy'!$B$16:$AQ$90,AB$1,FALSE)),VLOOKUP($B47,'Cental Budget - hwy'!$B$16:$AQ$90,AB$1,FALSE),0)+IF(ISNUMBER(VLOOKUP($B47,#REF!,AB$1,FALSE)),VLOOKUP($B47,#REF!,AB$1,FALSE),0)</f>
        <v>0</v>
      </c>
      <c r="AC47" s="98">
        <f>+IF(ISNUMBER(VLOOKUP($B47,'Cental Budget - hwy'!$B$16:$AQ$90,AC$1,FALSE)),VLOOKUP($B47,'Cental Budget - hwy'!$B$16:$AQ$90,AC$1,FALSE),0)+IF(ISNUMBER(VLOOKUP($B47,#REF!,AC$1,FALSE)),VLOOKUP($B47,#REF!,AC$1,FALSE),0)</f>
        <v>0</v>
      </c>
      <c r="AD47" s="190">
        <f>+IF(ISNUMBER(VLOOKUP($B47,'Cental Budget - hwy'!$B$16:$AQ$90,AD$1,FALSE)),VLOOKUP($B47,'Cental Budget - hwy'!$B$16:$AQ$90,AD$1,FALSE),0)+IF(ISNUMBER(VLOOKUP($B47,#REF!,AD$1,FALSE)),VLOOKUP($B47,#REF!,AD$1,FALSE),0)</f>
        <v>0</v>
      </c>
      <c r="AE47" s="189">
        <f>+IF(ISNUMBER(VLOOKUP($B47,'Cental Budget - hwy'!$B$16:$AQ$90,AE$1,FALSE)),VLOOKUP($B47,'Cental Budget - hwy'!$B$16:$AQ$90,AE$1,FALSE),0)+IF(ISNUMBER(VLOOKUP($B47,#REF!,AE$1,FALSE)),VLOOKUP($B47,#REF!,AE$1,FALSE),0)</f>
        <v>10397933.686799999</v>
      </c>
      <c r="AF47" s="98">
        <f t="shared" si="11"/>
        <v>0.28011623271443403</v>
      </c>
      <c r="AG47" s="189">
        <f>+IF(ISNUMBER(VLOOKUP($B47,'Cental Budget - hwy'!$B$16:$AQ$90,AG$1,FALSE)),VLOOKUP($B47,'Cental Budget - hwy'!$B$16:$AQ$90,AG$1,FALSE),0)+IF(ISNUMBER(VLOOKUP($B47,#REF!,AG$1,FALSE)),VLOOKUP($B47,#REF!,AG$1,FALSE),0)</f>
        <v>0</v>
      </c>
      <c r="AH47" s="98">
        <f>+IF(ISNUMBER(VLOOKUP($B47,'Cental Budget - hwy'!$B$16:$AQ$90,AH$1,FALSE)),VLOOKUP($B47,'Cental Budget - hwy'!$B$16:$AQ$90,AH$1,FALSE),0)+IF(ISNUMBER(VLOOKUP($B47,#REF!,AH$1,FALSE)),VLOOKUP($B47,#REF!,AH$1,FALSE),0)</f>
        <v>0</v>
      </c>
      <c r="AI47" s="190">
        <f>+IF(ISNUMBER(VLOOKUP($B47,'Cental Budget - hwy'!$B$16:$AQ$90,AI$1,FALSE)),VLOOKUP($B47,'Cental Budget - hwy'!$B$16:$AQ$90,AI$1,FALSE),0)+IF(ISNUMBER(VLOOKUP($B47,#REF!,AI$1,FALSE)),VLOOKUP($B47,#REF!,AI$1,FALSE),0)</f>
        <v>0</v>
      </c>
      <c r="AJ47" s="189">
        <f>+IF(ISNUMBER(VLOOKUP($B47,'Cental Budget - hwy'!$B$16:$AQ$90,AJ$1,FALSE)),VLOOKUP($B47,'Cental Budget - hwy'!$B$16:$AQ$90,AJ$1,FALSE),0)+IF(ISNUMBER(VLOOKUP($B47,#REF!,AJ$1,FALSE)),VLOOKUP($B47,#REF!,AJ$1,FALSE),0)</f>
        <v>9882238.1877879985</v>
      </c>
      <c r="AK47" s="98">
        <f t="shared" si="12"/>
        <v>0.25144848629959249</v>
      </c>
      <c r="AL47" s="189">
        <f>+IF(ISNUMBER(VLOOKUP($B47,'Cental Budget - hwy'!$B$16:$AQ$90,AL$1,FALSE)),VLOOKUP($B47,'Cental Budget - hwy'!$B$16:$AQ$90,AL$1,FALSE),0)+IF(ISNUMBER(VLOOKUP($B47,#REF!,AL$1,FALSE)),VLOOKUP($B47,#REF!,AL$1,FALSE),0)</f>
        <v>9585771.0421543587</v>
      </c>
      <c r="AM47" s="98">
        <f t="shared" si="13"/>
        <v>0.22992555779657284</v>
      </c>
      <c r="AO47" s="105"/>
      <c r="AP47" s="106"/>
      <c r="AQ47" s="106"/>
      <c r="AR47" s="106"/>
      <c r="AS47" s="106"/>
      <c r="AT47" s="107"/>
      <c r="AU47" s="81"/>
      <c r="AV47" s="81"/>
      <c r="AW47" s="81"/>
      <c r="AX47" s="81"/>
      <c r="AY47" s="81"/>
      <c r="AZ47" s="81"/>
      <c r="BA47" s="81"/>
      <c r="BB47" s="81"/>
      <c r="BC47" s="81"/>
      <c r="BD47" s="81"/>
      <c r="BE47" s="81"/>
      <c r="BF47" s="81"/>
      <c r="BG47" s="81"/>
      <c r="DS47" s="198"/>
      <c r="DT47" s="198"/>
      <c r="DU47" s="176"/>
      <c r="DV47" s="176"/>
      <c r="DW47" s="176"/>
      <c r="DX47" s="175"/>
    </row>
    <row r="48" spans="1:128" ht="13.5" customHeight="1">
      <c r="A48" s="80">
        <v>42</v>
      </c>
      <c r="B48" s="80" t="s">
        <v>447</v>
      </c>
      <c r="C48" s="94" t="s">
        <v>87</v>
      </c>
      <c r="D48" s="95">
        <f>+IF(ISNUMBER(VLOOKUP($B48,#REF!,#REF!,FALSE)),VLOOKUP($B48,#REF!,#REF!,FALSE),0)+IF(ISNUMBER(VLOOKUP(#REF!,#REF!,#REF!,FALSE)),VLOOKUP(#REF!,#REF!,#REF!,FALSE),0)</f>
        <v>0</v>
      </c>
      <c r="E48" s="98">
        <f t="shared" ref="E48:E74" si="16">D48/D$11*100</f>
        <v>0</v>
      </c>
      <c r="F48" s="95">
        <f>+IF(ISNUMBER(VLOOKUP($B48,#REF!,#REF!,FALSE)),VLOOKUP($B48,#REF!,#REF!,FALSE),0)+IF(ISNUMBER(VLOOKUP(#REF!,#REF!,#REF!,FALSE)),VLOOKUP(#REF!,#REF!,#REF!,FALSE),0)</f>
        <v>0</v>
      </c>
      <c r="G48" s="98">
        <f t="shared" ref="G48:G74" si="17">F48/F$11*100</f>
        <v>0</v>
      </c>
      <c r="H48" s="95">
        <f>+IF(ISNUMBER(VLOOKUP($B48,#REF!,#REF!,FALSE)),VLOOKUP($B48,#REF!,#REF!,FALSE),0)+IF(ISNUMBER(VLOOKUP(#REF!,#REF!,#REF!,FALSE)),VLOOKUP(#REF!,#REF!,#REF!,FALSE),0)</f>
        <v>0</v>
      </c>
      <c r="I48" s="98">
        <f t="shared" ref="I48:I74" si="18">H48/H$11*100</f>
        <v>0</v>
      </c>
      <c r="J48" s="95">
        <f>+IF(ISNUMBER(VLOOKUP($B48,#REF!,#REF!,FALSE)),VLOOKUP($B48,#REF!,#REF!,FALSE),0)+IF(ISNUMBER(VLOOKUP(#REF!,#REF!,#REF!,FALSE)),VLOOKUP(#REF!,#REF!,#REF!,FALSE),0)</f>
        <v>0</v>
      </c>
      <c r="K48" s="98">
        <f t="shared" ref="K48:K74" si="19">J48/J$11*100</f>
        <v>0</v>
      </c>
      <c r="L48" s="95">
        <f>+IF(ISNUMBER(VLOOKUP($B48,#REF!,#REF!,FALSE)),VLOOKUP($B48,#REF!,#REF!,FALSE),0)+IF(ISNUMBER(VLOOKUP(#REF!,#REF!,#REF!,FALSE)),VLOOKUP(#REF!,#REF!,#REF!,FALSE),0)</f>
        <v>0</v>
      </c>
      <c r="M48" s="98">
        <f t="shared" si="14"/>
        <v>0</v>
      </c>
      <c r="N48" s="95">
        <f>+IF(ISNUMBER(VLOOKUP($B48,#REF!,#REF!,FALSE)),VLOOKUP($B48,#REF!,#REF!,FALSE),0)+IF(ISNUMBER(VLOOKUP(#REF!,#REF!,#REF!,FALSE)),VLOOKUP(#REF!,#REF!,#REF!,FALSE),0)</f>
        <v>0</v>
      </c>
      <c r="O48" s="98">
        <f t="shared" si="5"/>
        <v>0</v>
      </c>
      <c r="P48" s="95">
        <f>+IF(ISNUMBER(VLOOKUP($B48,#REF!,#REF!,FALSE)),VLOOKUP($B48,#REF!,#REF!,FALSE),0)+IF(ISNUMBER(VLOOKUP(#REF!,#REF!,#REF!,FALSE)),VLOOKUP(#REF!,#REF!,#REF!,FALSE),0)</f>
        <v>0</v>
      </c>
      <c r="Q48" s="98">
        <f t="shared" si="6"/>
        <v>0</v>
      </c>
      <c r="R48" s="95">
        <f>+IF(ISNUMBER(VLOOKUP($B48,#REF!,#REF!,FALSE)),VLOOKUP($B48,#REF!,#REF!,FALSE),0)+IF(ISNUMBER(VLOOKUP(#REF!,#REF!,#REF!,FALSE)),VLOOKUP(#REF!,#REF!,#REF!,FALSE),0)</f>
        <v>0</v>
      </c>
      <c r="S48" s="98">
        <f t="shared" si="7"/>
        <v>0</v>
      </c>
      <c r="T48" s="95">
        <f>+IF(ISNUMBER(VLOOKUP($B48,#REF!,#REF!,FALSE)),VLOOKUP($B48,#REF!,#REF!,FALSE),0)+IF(ISNUMBER(VLOOKUP(#REF!,#REF!,#REF!,FALSE)),VLOOKUP(#REF!,#REF!,#REF!,FALSE),0)</f>
        <v>0</v>
      </c>
      <c r="U48" s="98">
        <f t="shared" si="8"/>
        <v>0</v>
      </c>
      <c r="V48" s="190">
        <f>+IF(ISNUMBER(VLOOKUP($B48,#REF!,#REF!,FALSE)),VLOOKUP($B48,#REF!,#REF!,FALSE),0)+IF(ISNUMBER(VLOOKUP(#REF!,#REF!,#REF!,FALSE)),VLOOKUP(#REF!,#REF!,#REF!,FALSE),0)</f>
        <v>0</v>
      </c>
      <c r="W48" s="190">
        <f>+IF(ISNUMBER(VLOOKUP($B48,#REF!,#REF!,FALSE)),VLOOKUP($B48,#REF!,#REF!,FALSE),0)+IF(ISNUMBER(VLOOKUP(#REF!,#REF!,#REF!,FALSE)),VLOOKUP(#REF!,#REF!,#REF!,FALSE),0)</f>
        <v>0</v>
      </c>
      <c r="X48" s="95">
        <f>+IF(ISNUMBER(VLOOKUP($B48,#REF!,#REF!,FALSE)),VLOOKUP($B48,#REF!,#REF!,FALSE),0)+IF(ISNUMBER(VLOOKUP(#REF!,#REF!,#REF!,FALSE)),VLOOKUP(#REF!,#REF!,#REF!,FALSE),0)</f>
        <v>0</v>
      </c>
      <c r="Y48" s="98">
        <f t="shared" si="9"/>
        <v>0</v>
      </c>
      <c r="Z48" s="95">
        <f>+IF(ISNUMBER(VLOOKUP($B48,#REF!,#REF!,FALSE)),VLOOKUP($B48,#REF!,#REF!,FALSE),0)+IF(ISNUMBER(VLOOKUP(#REF!,#REF!,#REF!,FALSE)),VLOOKUP(#REF!,#REF!,#REF!,FALSE),0)</f>
        <v>0</v>
      </c>
      <c r="AA48" s="98">
        <f t="shared" si="15"/>
        <v>0</v>
      </c>
      <c r="AB48" s="95">
        <f>+IF(ISNUMBER(VLOOKUP($B48,#REF!,#REF!,FALSE)),VLOOKUP($B48,#REF!,#REF!,FALSE),0)+IF(ISNUMBER(VLOOKUP(#REF!,#REF!,#REF!,FALSE)),VLOOKUP(#REF!,#REF!,#REF!,FALSE),0)</f>
        <v>0</v>
      </c>
      <c r="AC48" s="98">
        <f>AB48/AB$11*100</f>
        <v>0</v>
      </c>
      <c r="AD48" s="190">
        <f>+IF(ISNUMBER(VLOOKUP($B48,#REF!,#REF!,FALSE)),VLOOKUP($B48,#REF!,#REF!,FALSE),0)+IF(ISNUMBER(VLOOKUP(#REF!,#REF!,#REF!,FALSE)),VLOOKUP(#REF!,#REF!,#REF!,FALSE),0)</f>
        <v>0</v>
      </c>
      <c r="AE48" s="95">
        <f>+IF(ISNUMBER(VLOOKUP($B48,#REF!,#REF!,FALSE)),VLOOKUP($B48,#REF!,#REF!,FALSE),0)+IF(ISNUMBER(VLOOKUP(#REF!,#REF!,#REF!,FALSE)),VLOOKUP(#REF!,#REF!,#REF!,FALSE),0)</f>
        <v>0</v>
      </c>
      <c r="AF48" s="98">
        <f t="shared" si="11"/>
        <v>0</v>
      </c>
      <c r="AG48" s="95">
        <f>+IF(ISNUMBER(VLOOKUP($B48,#REF!,#REF!,FALSE)),VLOOKUP($B48,#REF!,#REF!,FALSE),0)+IF(ISNUMBER(VLOOKUP(#REF!,#REF!,#REF!,FALSE)),VLOOKUP(#REF!,#REF!,#REF!,FALSE),0)</f>
        <v>0</v>
      </c>
      <c r="AH48" s="98">
        <f>AG48/AG$11*100</f>
        <v>0</v>
      </c>
      <c r="AI48" s="190">
        <f>+IF(ISNUMBER(VLOOKUP($B48,#REF!,#REF!,FALSE)),VLOOKUP($B48,#REF!,#REF!,FALSE),0)+IF(ISNUMBER(VLOOKUP(#REF!,#REF!,#REF!,FALSE)),VLOOKUP(#REF!,#REF!,#REF!,FALSE),0)</f>
        <v>0</v>
      </c>
      <c r="AJ48" s="95" t="e">
        <f>SUM(AJ49:AJ53)</f>
        <v>#REF!</v>
      </c>
      <c r="AK48" s="98" t="e">
        <f t="shared" si="12"/>
        <v>#REF!</v>
      </c>
      <c r="AL48" s="95" t="e">
        <f>SUM(AL49:AL53)</f>
        <v>#REF!</v>
      </c>
      <c r="AM48" s="98" t="e">
        <f t="shared" si="13"/>
        <v>#REF!</v>
      </c>
      <c r="AO48" s="105"/>
      <c r="AP48" s="106"/>
      <c r="AQ48" s="106"/>
      <c r="AR48" s="106"/>
      <c r="AS48" s="106"/>
      <c r="AT48" s="107"/>
      <c r="AU48" s="81"/>
      <c r="AV48" s="81"/>
      <c r="AW48" s="81"/>
      <c r="AX48" s="81"/>
      <c r="AY48" s="81"/>
      <c r="AZ48" s="81"/>
      <c r="BA48" s="81"/>
      <c r="BB48" s="81"/>
      <c r="BC48" s="81"/>
      <c r="BD48" s="81"/>
      <c r="BE48" s="81"/>
      <c r="BF48" s="81"/>
      <c r="BG48" s="81"/>
      <c r="DS48" s="198"/>
      <c r="DT48" s="198"/>
      <c r="DU48" s="176"/>
      <c r="DV48" s="176"/>
      <c r="DW48" s="176"/>
      <c r="DX48" s="175"/>
    </row>
    <row r="49" spans="1:128" ht="13.5" customHeight="1">
      <c r="B49" s="80">
        <v>421</v>
      </c>
      <c r="C49" s="99" t="s">
        <v>89</v>
      </c>
      <c r="D49" s="193">
        <f>+IF(ISNUMBER(VLOOKUP($B49,'Cental Budget - hwy'!$B$16:$AQ$90,D$1,FALSE)),VLOOKUP($B49,'Cental Budget - hwy'!$B$16:$AQ$90,D$1,FALSE),0)+IF(ISNUMBER(VLOOKUP($B49,#REF!,D$1,FALSE)),VLOOKUP($B49,#REF!,D$1,FALSE),0)</f>
        <v>34076058.170000002</v>
      </c>
      <c r="E49" s="101">
        <f t="shared" si="16"/>
        <v>1.5857442491507283</v>
      </c>
      <c r="F49" s="193">
        <f>+IF(ISNUMBER(VLOOKUP($B49,'Cental Budget - hwy'!$B$16:$AQ$90,F$1,FALSE)),VLOOKUP($B49,'Cental Budget - hwy'!$B$16:$AQ$90,F$1,FALSE),0)+IF(ISNUMBER(VLOOKUP($B49,#REF!,F$1,FALSE)),VLOOKUP($B49,#REF!,F$1,FALSE),0)</f>
        <v>39187983.710000001</v>
      </c>
      <c r="G49" s="101">
        <f t="shared" si="17"/>
        <v>1.4619654433874278</v>
      </c>
      <c r="H49" s="193">
        <f>+IF(ISNUMBER(VLOOKUP($B49,'Cental Budget - hwy'!$B$16:$AQ$90,H$1,FALSE)),VLOOKUP($B49,'Cental Budget - hwy'!$B$16:$AQ$90,H$1,FALSE),0)+IF(ISNUMBER(VLOOKUP($B49,#REF!,H$1,FALSE)),VLOOKUP($B49,#REF!,H$1,FALSE),0)</f>
        <v>42104253.460000001</v>
      </c>
      <c r="I49" s="101">
        <f t="shared" si="18"/>
        <v>1.3645402339901478</v>
      </c>
      <c r="J49" s="193">
        <f>+IF(ISNUMBER(VLOOKUP($B49,'Cental Budget - hwy'!$B$16:$AQ$90,J$1,FALSE)),VLOOKUP($B49,'Cental Budget - hwy'!$B$16:$AQ$90,J$1,FALSE),0)+IF(ISNUMBER(VLOOKUP($B49,#REF!,J$1,FALSE)),VLOOKUP($B49,#REF!,J$1,FALSE),0)</f>
        <v>46907483.859999999</v>
      </c>
      <c r="K49" s="101">
        <f t="shared" si="19"/>
        <v>1.5735486031533044</v>
      </c>
      <c r="L49" s="193">
        <f>+IF(ISNUMBER(VLOOKUP($B49,'Cental Budget - hwy'!$B$16:$AQ$90,L$1,FALSE)),VLOOKUP($B49,'Cental Budget - hwy'!$B$16:$AQ$90,L$1,FALSE),0)+IF(ISNUMBER(VLOOKUP($B49,#REF!,L$1,FALSE)),VLOOKUP($B49,#REF!,L$1,FALSE),0)</f>
        <v>51591720.359999999</v>
      </c>
      <c r="M49" s="101">
        <f t="shared" si="14"/>
        <v>1.6621043930412371</v>
      </c>
      <c r="N49" s="193">
        <f>+IF(ISNUMBER(VLOOKUP($B49,'Cental Budget - hwy'!$B$16:$AQ$90,N$1,FALSE)),VLOOKUP($B49,'Cental Budget - hwy'!$B$16:$AQ$90,N$1,FALSE),0)+IF(ISNUMBER(VLOOKUP($B49,#REF!,N$1,FALSE)),VLOOKUP($B49,#REF!,N$1,FALSE),0)</f>
        <v>59330834.700000003</v>
      </c>
      <c r="O49" s="101">
        <f t="shared" si="5"/>
        <v>1.8345960018552876</v>
      </c>
      <c r="P49" s="193">
        <f>+IF(ISNUMBER(VLOOKUP($B49,'Cental Budget - hwy'!$B$16:$AQ$90,P$1,FALSE)),VLOOKUP($B49,'Cental Budget - hwy'!$B$16:$AQ$90,P$1,FALSE),0)+IF(ISNUMBER(VLOOKUP($B49,#REF!,P$1,FALSE)),VLOOKUP($B49,#REF!,P$1,FALSE),0)</f>
        <v>65188636.469999999</v>
      </c>
      <c r="Q49" s="101">
        <f t="shared" si="6"/>
        <v>2.0701377094315654</v>
      </c>
      <c r="R49" s="193">
        <f>+IF(ISNUMBER(VLOOKUP($B49,'Cental Budget - hwy'!$B$16:$AQ$90,R$1,FALSE)),VLOOKUP($B49,'Cental Budget - hwy'!$B$16:$AQ$90,R$1,FALSE),0)+IF(ISNUMBER(VLOOKUP($B49,#REF!,R$1,FALSE)),VLOOKUP($B49,#REF!,R$1,FALSE),0)</f>
        <v>64036543.990000002</v>
      </c>
      <c r="S49" s="101">
        <f t="shared" si="7"/>
        <v>1.919621383142986</v>
      </c>
      <c r="T49" s="193">
        <f>+IF(ISNUMBER(VLOOKUP($B49,'Cental Budget - hwy'!$B$16:$AQ$90,T$1,FALSE)),VLOOKUP($B49,'Cental Budget - hwy'!$B$16:$AQ$90,T$1,FALSE),0)+IF(ISNUMBER(VLOOKUP($B49,#REF!,T$1,FALSE)),VLOOKUP($B49,#REF!,T$1,FALSE),0)</f>
        <v>58645000</v>
      </c>
      <c r="U49" s="101">
        <f t="shared" si="8"/>
        <v>1.6678721068202007</v>
      </c>
      <c r="V49" s="194">
        <f>+IF(ISNUMBER(VLOOKUP($B49,'Cental Budget - hwy'!$B$16:$AQ$90,V$1,FALSE)),VLOOKUP($B49,'Cental Budget - hwy'!$B$16:$AQ$90,V$1,FALSE),0)+IF(ISNUMBER(VLOOKUP($B49,#REF!,V$1,FALSE)),VLOOKUP($B49,#REF!,V$1,FALSE),0)</f>
        <v>0</v>
      </c>
      <c r="W49" s="194">
        <f>+IF(ISNUMBER(VLOOKUP($B49,'Cental Budget - hwy'!$B$16:$AQ$90,W$1,FALSE)),VLOOKUP($B49,'Cental Budget - hwy'!$B$16:$AQ$90,W$1,FALSE),0)+IF(ISNUMBER(VLOOKUP($B49,#REF!,W$1,FALSE)),VLOOKUP($B49,#REF!,W$1,FALSE),0)</f>
        <v>0</v>
      </c>
      <c r="X49" s="193" t="e">
        <f>+'Cental Budget - hwy'!Z63+#REF!</f>
        <v>#REF!</v>
      </c>
      <c r="Y49" s="101" t="e">
        <f t="shared" si="9"/>
        <v>#REF!</v>
      </c>
      <c r="Z49" s="193" t="e">
        <f>+'Cental Budget - hwy'!AB63+#REF!</f>
        <v>#REF!</v>
      </c>
      <c r="AA49" s="101" t="e">
        <f t="shared" si="15"/>
        <v>#REF!</v>
      </c>
      <c r="AB49" s="193">
        <f>+IF(ISNUMBER(VLOOKUP($B49,'Cental Budget - hwy'!$B$16:$AQ$90,AB$1,FALSE)),VLOOKUP($B49,'Cental Budget - hwy'!$B$16:$AQ$90,AB$1,FALSE),0)+IF(ISNUMBER(VLOOKUP($B49,#REF!,AB$1,FALSE)),VLOOKUP($B49,#REF!,AB$1,FALSE),0)</f>
        <v>59532301.020000003</v>
      </c>
      <c r="AC49" s="101">
        <f>+IF(ISNUMBER(VLOOKUP($B49,'Cental Budget - hwy'!$B$16:$AQ$90,AC$1,FALSE)),VLOOKUP($B49,'Cental Budget - hwy'!$B$16:$AQ$90,AC$1,FALSE),0)+IF(ISNUMBER(VLOOKUP($B49,#REF!,AC$1,FALSE)),VLOOKUP($B49,#REF!,AC$1,FALSE),0)</f>
        <v>1.6037767107241616</v>
      </c>
      <c r="AD49" s="194">
        <f>+IF(ISNUMBER(VLOOKUP($B49,'Cental Budget - hwy'!$B$16:$AQ$90,AD$1,FALSE)),VLOOKUP($B49,'Cental Budget - hwy'!$B$16:$AQ$90,AD$1,FALSE),0)+IF(ISNUMBER(VLOOKUP($B49,#REF!,AD$1,FALSE)),VLOOKUP($B49,#REF!,AD$1,FALSE),0)</f>
        <v>0</v>
      </c>
      <c r="AE49" s="193" t="e">
        <f>+'Cental Budget - hwy'!AG63+#REF!</f>
        <v>#REF!</v>
      </c>
      <c r="AF49" s="101" t="e">
        <f t="shared" si="11"/>
        <v>#REF!</v>
      </c>
      <c r="AG49" s="193">
        <f>+IF(ISNUMBER(VLOOKUP($B49,'Cental Budget - hwy'!$B$16:$AQ$90,AG$1,FALSE)),VLOOKUP($B49,'Cental Budget - hwy'!$B$16:$AQ$90,AG$1,FALSE),0)+IF(ISNUMBER(VLOOKUP($B49,#REF!,AG$1,FALSE)),VLOOKUP($B49,#REF!,AG$1,FALSE),0)</f>
        <v>59651365.622040004</v>
      </c>
      <c r="AH49" s="101">
        <f>+IF(ISNUMBER(VLOOKUP($B49,'Cental Budget - hwy'!$B$16:$AQ$90,AH$1,FALSE)),VLOOKUP($B49,'Cental Budget - hwy'!$B$16:$AQ$90,AH$1,FALSE),0)+IF(ISNUMBER(VLOOKUP($B49,#REF!,AH$1,FALSE)),VLOOKUP($B49,#REF!,AH$1,FALSE),0)</f>
        <v>1.5177984284876742</v>
      </c>
      <c r="AI49" s="194">
        <f>+IF(ISNUMBER(VLOOKUP($B49,'Cental Budget - hwy'!$B$16:$AQ$90,AI$1,FALSE)),VLOOKUP($B49,'Cental Budget - hwy'!$B$16:$AQ$90,AI$1,FALSE),0)+IF(ISNUMBER(VLOOKUP($B49,#REF!,AI$1,FALSE)),VLOOKUP($B49,#REF!,AI$1,FALSE),0)</f>
        <v>0</v>
      </c>
      <c r="AJ49" s="193" t="e">
        <f>+'Cental Budget - hwy'!AL63+#REF!</f>
        <v>#REF!</v>
      </c>
      <c r="AK49" s="101" t="e">
        <f t="shared" si="12"/>
        <v>#REF!</v>
      </c>
      <c r="AL49" s="193" t="e">
        <f>+'Cental Budget - hwy'!AN63+#REF!</f>
        <v>#REF!</v>
      </c>
      <c r="AM49" s="101" t="e">
        <f t="shared" si="13"/>
        <v>#REF!</v>
      </c>
      <c r="AO49" s="105"/>
      <c r="AP49" s="106"/>
      <c r="AQ49" s="106"/>
      <c r="AR49" s="106"/>
      <c r="AS49" s="106"/>
      <c r="AT49" s="107"/>
      <c r="AU49" s="81"/>
      <c r="AV49" s="81"/>
      <c r="AW49" s="81"/>
      <c r="AX49" s="81"/>
      <c r="AY49" s="81"/>
      <c r="AZ49" s="81"/>
      <c r="BA49" s="81"/>
      <c r="BB49" s="81"/>
      <c r="BC49" s="81"/>
      <c r="BD49" s="81"/>
      <c r="BE49" s="81"/>
      <c r="BF49" s="81"/>
      <c r="BG49" s="81"/>
      <c r="DS49" s="198"/>
      <c r="DT49" s="198"/>
      <c r="DU49" s="176"/>
      <c r="DV49" s="176"/>
      <c r="DW49" s="176"/>
      <c r="DX49" s="175"/>
    </row>
    <row r="50" spans="1:128" ht="13.5" customHeight="1">
      <c r="B50" s="80">
        <v>422</v>
      </c>
      <c r="C50" s="99" t="s">
        <v>91</v>
      </c>
      <c r="D50" s="193">
        <f>+IF(ISNUMBER(VLOOKUP($B50,'Cental Budget - hwy'!$B$16:$AQ$90,D$1,FALSE)),VLOOKUP($B50,'Cental Budget - hwy'!$B$16:$AQ$90,D$1,FALSE),0)+IF(ISNUMBER(VLOOKUP($B50,#REF!,D$1,FALSE)),VLOOKUP($B50,#REF!,D$1,FALSE),0)</f>
        <v>9796008.3399999999</v>
      </c>
      <c r="E50" s="101">
        <f t="shared" si="16"/>
        <v>0.45586152636232491</v>
      </c>
      <c r="F50" s="193">
        <f>+IF(ISNUMBER(VLOOKUP($B50,'Cental Budget - hwy'!$B$16:$AQ$90,F$1,FALSE)),VLOOKUP($B50,'Cental Budget - hwy'!$B$16:$AQ$90,F$1,FALSE),0)+IF(ISNUMBER(VLOOKUP($B50,#REF!,F$1,FALSE)),VLOOKUP($B50,#REF!,F$1,FALSE),0)</f>
        <v>11417546.32</v>
      </c>
      <c r="G50" s="101">
        <f t="shared" si="17"/>
        <v>0.42594837977989186</v>
      </c>
      <c r="H50" s="193">
        <f>+IF(ISNUMBER(VLOOKUP($B50,'Cental Budget - hwy'!$B$16:$AQ$90,H$1,FALSE)),VLOOKUP($B50,'Cental Budget - hwy'!$B$16:$AQ$90,H$1,FALSE),0)+IF(ISNUMBER(VLOOKUP($B50,#REF!,H$1,FALSE)),VLOOKUP($B50,#REF!,H$1,FALSE),0)</f>
        <v>30206318.57</v>
      </c>
      <c r="I50" s="101">
        <f t="shared" si="18"/>
        <v>0.97894472938812538</v>
      </c>
      <c r="J50" s="193">
        <f>+IF(ISNUMBER(VLOOKUP($B50,'Cental Budget - hwy'!$B$16:$AQ$90,J$1,FALSE)),VLOOKUP($B50,'Cental Budget - hwy'!$B$16:$AQ$90,J$1,FALSE),0)+IF(ISNUMBER(VLOOKUP($B50,#REF!,J$1,FALSE)),VLOOKUP($B50,#REF!,J$1,FALSE),0)</f>
        <v>19907692.059999999</v>
      </c>
      <c r="K50" s="101">
        <f t="shared" si="19"/>
        <v>0.66781925729620928</v>
      </c>
      <c r="L50" s="193">
        <f>+IF(ISNUMBER(VLOOKUP($B50,'Cental Budget - hwy'!$B$16:$AQ$90,L$1,FALSE)),VLOOKUP($B50,'Cental Budget - hwy'!$B$16:$AQ$90,L$1,FALSE),0)+IF(ISNUMBER(VLOOKUP($B50,#REF!,L$1,FALSE)),VLOOKUP($B50,#REF!,L$1,FALSE),0)</f>
        <v>20073795.120000001</v>
      </c>
      <c r="M50" s="101">
        <f t="shared" si="14"/>
        <v>0.64670731701030937</v>
      </c>
      <c r="N50" s="193">
        <f>+IF(ISNUMBER(VLOOKUP($B50,'Cental Budget - hwy'!$B$16:$AQ$90,N$1,FALSE)),VLOOKUP($B50,'Cental Budget - hwy'!$B$16:$AQ$90,N$1,FALSE),0)+IF(ISNUMBER(VLOOKUP($B50,#REF!,N$1,FALSE)),VLOOKUP($B50,#REF!,N$1,FALSE),0)</f>
        <v>17323007.039999999</v>
      </c>
      <c r="O50" s="101">
        <f t="shared" si="5"/>
        <v>0.5356526604823747</v>
      </c>
      <c r="P50" s="193">
        <f>+IF(ISNUMBER(VLOOKUP($B50,'Cental Budget - hwy'!$B$16:$AQ$90,P$1,FALSE)),VLOOKUP($B50,'Cental Budget - hwy'!$B$16:$AQ$90,P$1,FALSE),0)+IF(ISNUMBER(VLOOKUP($B50,#REF!,P$1,FALSE)),VLOOKUP($B50,#REF!,P$1,FALSE),0)</f>
        <v>16130418.140000001</v>
      </c>
      <c r="Q50" s="101">
        <f t="shared" si="6"/>
        <v>0.51223938202604002</v>
      </c>
      <c r="R50" s="193">
        <f>+IF(ISNUMBER(VLOOKUP($B50,'Cental Budget - hwy'!$B$16:$AQ$90,R$1,FALSE)),VLOOKUP($B50,'Cental Budget - hwy'!$B$16:$AQ$90,R$1,FALSE),0)+IF(ISNUMBER(VLOOKUP($B50,#REF!,R$1,FALSE)),VLOOKUP($B50,#REF!,R$1,FALSE),0)</f>
        <v>13086355.520000001</v>
      </c>
      <c r="S50" s="101">
        <f t="shared" si="7"/>
        <v>0.39228925108022916</v>
      </c>
      <c r="T50" s="193">
        <f>+IF(ISNUMBER(VLOOKUP($B50,'Cental Budget - hwy'!$B$16:$AQ$90,T$1,FALSE)),VLOOKUP($B50,'Cental Budget - hwy'!$B$16:$AQ$90,T$1,FALSE),0)+IF(ISNUMBER(VLOOKUP($B50,#REF!,T$1,FALSE)),VLOOKUP($B50,#REF!,T$1,FALSE),0)</f>
        <v>20758124</v>
      </c>
      <c r="U50" s="101">
        <f t="shared" si="8"/>
        <v>0.59036398686188019</v>
      </c>
      <c r="V50" s="194">
        <f>+IF(ISNUMBER(VLOOKUP($B50,'Cental Budget - hwy'!$B$16:$AQ$90,V$1,FALSE)),VLOOKUP($B50,'Cental Budget - hwy'!$B$16:$AQ$90,V$1,FALSE),0)+IF(ISNUMBER(VLOOKUP($B50,#REF!,V$1,FALSE)),VLOOKUP($B50,#REF!,V$1,FALSE),0)</f>
        <v>0</v>
      </c>
      <c r="W50" s="194">
        <f>+IF(ISNUMBER(VLOOKUP($B50,'Cental Budget - hwy'!$B$16:$AQ$90,W$1,FALSE)),VLOOKUP($B50,'Cental Budget - hwy'!$B$16:$AQ$90,W$1,FALSE),0)+IF(ISNUMBER(VLOOKUP($B50,#REF!,W$1,FALSE)),VLOOKUP($B50,#REF!,W$1,FALSE),0)</f>
        <v>0</v>
      </c>
      <c r="X50" s="193" t="e">
        <f>+'Cental Budget - hwy'!Z64+#REF!</f>
        <v>#REF!</v>
      </c>
      <c r="Y50" s="101" t="e">
        <f t="shared" si="9"/>
        <v>#REF!</v>
      </c>
      <c r="Z50" s="193" t="e">
        <f>+'Cental Budget - hwy'!AB64+#REF!</f>
        <v>#REF!</v>
      </c>
      <c r="AA50" s="101" t="e">
        <f t="shared" si="15"/>
        <v>#REF!</v>
      </c>
      <c r="AB50" s="193">
        <f>+IF(ISNUMBER(VLOOKUP($B50,'Cental Budget - hwy'!$B$16:$AQ$90,AB$1,FALSE)),VLOOKUP($B50,'Cental Budget - hwy'!$B$16:$AQ$90,AB$1,FALSE),0)+IF(ISNUMBER(VLOOKUP($B50,#REF!,AB$1,FALSE)),VLOOKUP($B50,#REF!,AB$1,FALSE),0)</f>
        <v>13620542.76</v>
      </c>
      <c r="AC50" s="101">
        <f>+IF(ISNUMBER(VLOOKUP($B50,'Cental Budget - hwy'!$B$16:$AQ$90,AC$1,FALSE)),VLOOKUP($B50,'Cental Budget - hwy'!$B$16:$AQ$90,AC$1,FALSE),0)+IF(ISNUMBER(VLOOKUP($B50,#REF!,AC$1,FALSE)),VLOOKUP($B50,#REF!,AC$1,FALSE),0)</f>
        <v>0.366932050191911</v>
      </c>
      <c r="AD50" s="194">
        <f>+IF(ISNUMBER(VLOOKUP($B50,'Cental Budget - hwy'!$B$16:$AQ$90,AD$1,FALSE)),VLOOKUP($B50,'Cental Budget - hwy'!$B$16:$AQ$90,AD$1,FALSE),0)+IF(ISNUMBER(VLOOKUP($B50,#REF!,AD$1,FALSE)),VLOOKUP($B50,#REF!,AD$1,FALSE),0)</f>
        <v>0</v>
      </c>
      <c r="AE50" s="193" t="e">
        <f>+'Cental Budget - hwy'!AG64+#REF!</f>
        <v>#REF!</v>
      </c>
      <c r="AF50" s="101" t="e">
        <f t="shared" si="11"/>
        <v>#REF!</v>
      </c>
      <c r="AG50" s="193">
        <f>+IF(ISNUMBER(VLOOKUP($B50,'Cental Budget - hwy'!$B$16:$AQ$90,AG$1,FALSE)),VLOOKUP($B50,'Cental Budget - hwy'!$B$16:$AQ$90,AG$1,FALSE),0)+IF(ISNUMBER(VLOOKUP($B50,#REF!,AG$1,FALSE)),VLOOKUP($B50,#REF!,AG$1,FALSE),0)</f>
        <v>13484337.3324</v>
      </c>
      <c r="AH50" s="101">
        <f>+IF(ISNUMBER(VLOOKUP($B50,'Cental Budget - hwy'!$B$16:$AQ$90,AH$1,FALSE)),VLOOKUP($B50,'Cental Budget - hwy'!$B$16:$AQ$90,AH$1,FALSE),0)+IF(ISNUMBER(VLOOKUP($B50,#REF!,AH$1,FALSE)),VLOOKUP($B50,#REF!,AH$1,FALSE),0)</f>
        <v>0.34310205305261993</v>
      </c>
      <c r="AI50" s="194">
        <f>+IF(ISNUMBER(VLOOKUP($B50,'Cental Budget - hwy'!$B$16:$AQ$90,AI$1,FALSE)),VLOOKUP($B50,'Cental Budget - hwy'!$B$16:$AQ$90,AI$1,FALSE),0)+IF(ISNUMBER(VLOOKUP($B50,#REF!,AI$1,FALSE)),VLOOKUP($B50,#REF!,AI$1,FALSE),0)</f>
        <v>0</v>
      </c>
      <c r="AJ50" s="193" t="e">
        <f>+'Cental Budget - hwy'!AL64+#REF!</f>
        <v>#REF!</v>
      </c>
      <c r="AK50" s="101" t="e">
        <f t="shared" si="12"/>
        <v>#REF!</v>
      </c>
      <c r="AL50" s="193" t="e">
        <f>+'Cental Budget - hwy'!AN64+#REF!</f>
        <v>#REF!</v>
      </c>
      <c r="AM50" s="101" t="e">
        <f t="shared" si="13"/>
        <v>#REF!</v>
      </c>
      <c r="AO50" s="105"/>
      <c r="AP50" s="106"/>
      <c r="AQ50" s="106"/>
      <c r="AR50" s="106"/>
      <c r="AS50" s="106"/>
      <c r="AT50" s="107"/>
      <c r="AU50" s="81"/>
      <c r="AV50" s="81"/>
      <c r="AW50" s="81"/>
      <c r="AX50" s="81"/>
      <c r="AY50" s="81"/>
      <c r="AZ50" s="81"/>
      <c r="BA50" s="81"/>
      <c r="BB50" s="81"/>
      <c r="BC50" s="81"/>
      <c r="BD50" s="81"/>
      <c r="BE50" s="81"/>
      <c r="BF50" s="81"/>
      <c r="BG50" s="81"/>
      <c r="DS50" s="198"/>
      <c r="DT50" s="198"/>
      <c r="DU50" s="176"/>
      <c r="DV50" s="176"/>
      <c r="DW50" s="176"/>
      <c r="DX50" s="175"/>
    </row>
    <row r="51" spans="1:128" ht="13.5" customHeight="1">
      <c r="B51" s="80">
        <v>423</v>
      </c>
      <c r="C51" s="99" t="s">
        <v>93</v>
      </c>
      <c r="D51" s="193">
        <f>+IF(ISNUMBER(VLOOKUP($B51,'Cental Budget - hwy'!$B$16:$AQ$90,D$1,FALSE)),VLOOKUP($B51,'Cental Budget - hwy'!$B$16:$AQ$90,D$1,FALSE),0)+IF(ISNUMBER(VLOOKUP($B51,#REF!,D$1,FALSE)),VLOOKUP($B51,#REF!,D$1,FALSE),0)</f>
        <v>199416686.40000001</v>
      </c>
      <c r="E51" s="101">
        <f t="shared" si="16"/>
        <v>9.2799425938852451</v>
      </c>
      <c r="F51" s="193">
        <f>+IF(ISNUMBER(VLOOKUP($B51,'Cental Budget - hwy'!$B$16:$AQ$90,F$1,FALSE)),VLOOKUP($B51,'Cental Budget - hwy'!$B$16:$AQ$90,F$1,FALSE),0)+IF(ISNUMBER(VLOOKUP($B51,#REF!,F$1,FALSE)),VLOOKUP($B51,#REF!,F$1,FALSE),0)</f>
        <v>228365332.86000001</v>
      </c>
      <c r="G51" s="101">
        <f t="shared" si="17"/>
        <v>8.5195050498041418</v>
      </c>
      <c r="H51" s="193">
        <f>+IF(ISNUMBER(VLOOKUP($B51,'Cental Budget - hwy'!$B$16:$AQ$90,H$1,FALSE)),VLOOKUP($B51,'Cental Budget - hwy'!$B$16:$AQ$90,H$1,FALSE),0)+IF(ISNUMBER(VLOOKUP($B51,#REF!,H$1,FALSE)),VLOOKUP($B51,#REF!,H$1,FALSE),0)</f>
        <v>250935783.35999998</v>
      </c>
      <c r="I51" s="101">
        <f t="shared" si="18"/>
        <v>8.1324793673839775</v>
      </c>
      <c r="J51" s="193">
        <f>+IF(ISNUMBER(VLOOKUP($B51,'Cental Budget - hwy'!$B$16:$AQ$90,J$1,FALSE)),VLOOKUP($B51,'Cental Budget - hwy'!$B$16:$AQ$90,J$1,FALSE),0)+IF(ISNUMBER(VLOOKUP($B51,#REF!,J$1,FALSE)),VLOOKUP($B51,#REF!,J$1,FALSE),0)</f>
        <v>323500545.41000003</v>
      </c>
      <c r="K51" s="101">
        <f t="shared" si="19"/>
        <v>10.852081362294532</v>
      </c>
      <c r="L51" s="193">
        <f>+IF(ISNUMBER(VLOOKUP($B51,'Cental Budget - hwy'!$B$16:$AQ$90,L$1,FALSE)),VLOOKUP($B51,'Cental Budget - hwy'!$B$16:$AQ$90,L$1,FALSE),0)+IF(ISNUMBER(VLOOKUP($B51,#REF!,L$1,FALSE)),VLOOKUP($B51,#REF!,L$1,FALSE),0)</f>
        <v>330972340.54000008</v>
      </c>
      <c r="M51" s="101">
        <f t="shared" si="14"/>
        <v>10.66276870296392</v>
      </c>
      <c r="N51" s="193">
        <f>+IF(ISNUMBER(VLOOKUP($B51,'Cental Budget - hwy'!$B$16:$AQ$90,N$1,FALSE)),VLOOKUP($B51,'Cental Budget - hwy'!$B$16:$AQ$90,N$1,FALSE),0)+IF(ISNUMBER(VLOOKUP($B51,#REF!,N$1,FALSE)),VLOOKUP($B51,#REF!,N$1,FALSE),0)</f>
        <v>356875323.42000002</v>
      </c>
      <c r="O51" s="101">
        <f t="shared" si="5"/>
        <v>11.035105857142858</v>
      </c>
      <c r="P51" s="193">
        <f>+IF(ISNUMBER(VLOOKUP($B51,'Cental Budget - hwy'!$B$16:$AQ$90,P$1,FALSE)),VLOOKUP($B51,'Cental Budget - hwy'!$B$16:$AQ$90,P$1,FALSE),0)+IF(ISNUMBER(VLOOKUP($B51,#REF!,P$1,FALSE)),VLOOKUP($B51,#REF!,P$1,FALSE),0)</f>
        <v>378962096.58999997</v>
      </c>
      <c r="Q51" s="101">
        <f t="shared" si="6"/>
        <v>12.034363181644967</v>
      </c>
      <c r="R51" s="193">
        <f>+IF(ISNUMBER(VLOOKUP($B51,'Cental Budget - hwy'!$B$16:$AQ$90,R$1,FALSE)),VLOOKUP($B51,'Cental Budget - hwy'!$B$16:$AQ$90,R$1,FALSE),0)+IF(ISNUMBER(VLOOKUP($B51,#REF!,R$1,FALSE)),VLOOKUP($B51,#REF!,R$1,FALSE),0)</f>
        <v>383190248.31999987</v>
      </c>
      <c r="S51" s="101">
        <f t="shared" si="7"/>
        <v>11.486881531298929</v>
      </c>
      <c r="T51" s="193">
        <f>+IF(ISNUMBER(VLOOKUP($B51,'Cental Budget - hwy'!$B$16:$AQ$90,T$1,FALSE)),VLOOKUP($B51,'Cental Budget - hwy'!$B$16:$AQ$90,T$1,FALSE),0)+IF(ISNUMBER(VLOOKUP($B51,#REF!,T$1,FALSE)),VLOOKUP($B51,#REF!,T$1,FALSE),0)</f>
        <v>397320274.96999997</v>
      </c>
      <c r="U51" s="101">
        <f t="shared" si="8"/>
        <v>11.299844898910312</v>
      </c>
      <c r="V51" s="194">
        <f>+IF(ISNUMBER(VLOOKUP($B51,'Cental Budget - hwy'!$B$16:$AQ$90,V$1,FALSE)),VLOOKUP($B51,'Cental Budget - hwy'!$B$16:$AQ$90,V$1,FALSE),0)+IF(ISNUMBER(VLOOKUP($B51,#REF!,V$1,FALSE)),VLOOKUP($B51,#REF!,V$1,FALSE),0)</f>
        <v>0</v>
      </c>
      <c r="W51" s="194">
        <f>+IF(ISNUMBER(VLOOKUP($B51,'Cental Budget - hwy'!$B$16:$AQ$90,W$1,FALSE)),VLOOKUP($B51,'Cental Budget - hwy'!$B$16:$AQ$90,W$1,FALSE),0)+IF(ISNUMBER(VLOOKUP($B51,#REF!,W$1,FALSE)),VLOOKUP($B51,#REF!,W$1,FALSE),0)</f>
        <v>0</v>
      </c>
      <c r="X51" s="193">
        <f>+'Cental Budget - hwy'!Z65</f>
        <v>397320274.96999997</v>
      </c>
      <c r="Y51" s="101">
        <f t="shared" si="9"/>
        <v>11.299844898910312</v>
      </c>
      <c r="Z51" s="193">
        <f>+'Cental Budget - hwy'!AB65</f>
        <v>0</v>
      </c>
      <c r="AA51" s="101">
        <f t="shared" si="15"/>
        <v>0</v>
      </c>
      <c r="AB51" s="193">
        <f>+IF(ISNUMBER(VLOOKUP($B51,'Cental Budget - hwy'!$B$16:$AQ$90,AB$1,FALSE)),VLOOKUP($B51,'Cental Budget - hwy'!$B$16:$AQ$90,AB$1,FALSE),0)+IF(ISNUMBER(VLOOKUP($B51,#REF!,AB$1,FALSE)),VLOOKUP($B51,#REF!,AB$1,FALSE),0)</f>
        <v>402320274.96999997</v>
      </c>
      <c r="AC51" s="101">
        <f>+IF(ISNUMBER(VLOOKUP($B51,'Cental Budget - hwy'!$B$16:$AQ$90,AC$1,FALSE)),VLOOKUP($B51,'Cental Budget - hwy'!$B$16:$AQ$90,AC$1,FALSE),0)+IF(ISNUMBER(VLOOKUP($B51,#REF!,AC$1,FALSE)),VLOOKUP($B51,#REF!,AC$1,FALSE),0)</f>
        <v>10.83834953787961</v>
      </c>
      <c r="AD51" s="194">
        <f>+IF(ISNUMBER(VLOOKUP($B51,'Cental Budget - hwy'!$B$16:$AQ$90,AD$1,FALSE)),VLOOKUP($B51,'Cental Budget - hwy'!$B$16:$AQ$90,AD$1,FALSE),0)+IF(ISNUMBER(VLOOKUP($B51,#REF!,AD$1,FALSE)),VLOOKUP($B51,#REF!,AD$1,FALSE),0)</f>
        <v>0</v>
      </c>
      <c r="AE51" s="193">
        <f>+'Cental Budget - hwy'!AG65</f>
        <v>409320274.96999997</v>
      </c>
      <c r="AF51" s="101">
        <f t="shared" si="11"/>
        <v>11.026926777171898</v>
      </c>
      <c r="AG51" s="193">
        <f>+IF(ISNUMBER(VLOOKUP($B51,'Cental Budget - hwy'!$B$16:$AQ$90,AG$1,FALSE)),VLOOKUP($B51,'Cental Budget - hwy'!$B$16:$AQ$90,AG$1,FALSE),0)+IF(ISNUMBER(VLOOKUP($B51,#REF!,AG$1,FALSE)),VLOOKUP($B51,#REF!,AG$1,FALSE),0)</f>
        <v>407320274.96999997</v>
      </c>
      <c r="AH51" s="101">
        <f>+IF(ISNUMBER(VLOOKUP($B51,'Cental Budget - hwy'!$B$16:$AQ$90,AH$1,FALSE)),VLOOKUP($B51,'Cental Budget - hwy'!$B$16:$AQ$90,AH$1,FALSE),0)+IF(ISNUMBER(VLOOKUP($B51,#REF!,AH$1,FALSE)),VLOOKUP($B51,#REF!,AH$1,FALSE),0)</f>
        <v>10.364055655621227</v>
      </c>
      <c r="AI51" s="194">
        <f>+IF(ISNUMBER(VLOOKUP($B51,'Cental Budget - hwy'!$B$16:$AQ$90,AI$1,FALSE)),VLOOKUP($B51,'Cental Budget - hwy'!$B$16:$AQ$90,AI$1,FALSE),0)+IF(ISNUMBER(VLOOKUP($B51,#REF!,AI$1,FALSE)),VLOOKUP($B51,#REF!,AI$1,FALSE),0)</f>
        <v>0</v>
      </c>
      <c r="AJ51" s="193">
        <f>+'Cental Budget - hwy'!AL65</f>
        <v>417320274.96999997</v>
      </c>
      <c r="AK51" s="101">
        <f t="shared" si="12"/>
        <v>10.618500530882704</v>
      </c>
      <c r="AL51" s="193">
        <f>+'Cental Budget - hwy'!AN65</f>
        <v>425320274.96999997</v>
      </c>
      <c r="AM51" s="101">
        <f t="shared" si="13"/>
        <v>10.201787736700487</v>
      </c>
      <c r="AO51" s="105"/>
      <c r="AP51" s="106"/>
      <c r="AQ51" s="106"/>
      <c r="AR51" s="106"/>
      <c r="AS51" s="106"/>
      <c r="AT51" s="107"/>
      <c r="AU51" s="81"/>
      <c r="AV51" s="81"/>
      <c r="AW51" s="81"/>
      <c r="AX51" s="81"/>
      <c r="AY51" s="81"/>
      <c r="AZ51" s="81"/>
      <c r="BA51" s="81"/>
      <c r="BB51" s="81"/>
      <c r="BC51" s="81"/>
      <c r="BD51" s="81"/>
      <c r="BE51" s="81"/>
      <c r="BF51" s="81"/>
      <c r="BG51" s="81"/>
      <c r="DS51" s="198"/>
      <c r="DT51" s="198"/>
      <c r="DU51" s="176"/>
      <c r="DV51" s="176"/>
      <c r="DW51" s="176"/>
      <c r="DX51" s="175"/>
    </row>
    <row r="52" spans="1:128" ht="13.5" customHeight="1">
      <c r="B52" s="80">
        <v>424</v>
      </c>
      <c r="C52" s="99" t="s">
        <v>95</v>
      </c>
      <c r="D52" s="193">
        <f>+IF(ISNUMBER(VLOOKUP($B52,'Cental Budget - hwy'!$B$16:$AQ$90,D$1,FALSE)),VLOOKUP($B52,'Cental Budget - hwy'!$B$16:$AQ$90,D$1,FALSE),0)+IF(ISNUMBER(VLOOKUP($B52,#REF!,D$1,FALSE)),VLOOKUP($B52,#REF!,D$1,FALSE),0)</f>
        <v>10828245</v>
      </c>
      <c r="E52" s="101">
        <f t="shared" si="16"/>
        <v>0.50389711014937877</v>
      </c>
      <c r="F52" s="193">
        <f>+IF(ISNUMBER(VLOOKUP($B52,'Cental Budget - hwy'!$B$16:$AQ$90,F$1,FALSE)),VLOOKUP($B52,'Cental Budget - hwy'!$B$16:$AQ$90,F$1,FALSE),0)+IF(ISNUMBER(VLOOKUP($B52,#REF!,F$1,FALSE)),VLOOKUP($B52,#REF!,F$1,FALSE),0)</f>
        <v>12762198</v>
      </c>
      <c r="G52" s="101">
        <f t="shared" si="17"/>
        <v>0.47611259093452718</v>
      </c>
      <c r="H52" s="193">
        <f>+IF(ISNUMBER(VLOOKUP($B52,'Cental Budget - hwy'!$B$16:$AQ$90,H$1,FALSE)),VLOOKUP($B52,'Cental Budget - hwy'!$B$16:$AQ$90,H$1,FALSE),0)+IF(ISNUMBER(VLOOKUP($B52,#REF!,H$1,FALSE)),VLOOKUP($B52,#REF!,H$1,FALSE),0)</f>
        <v>15724080</v>
      </c>
      <c r="I52" s="101">
        <f t="shared" si="18"/>
        <v>0.50959554057557688</v>
      </c>
      <c r="J52" s="193">
        <f>+IF(ISNUMBER(VLOOKUP($B52,'Cental Budget - hwy'!$B$16:$AQ$90,J$1,FALSE)),VLOOKUP($B52,'Cental Budget - hwy'!$B$16:$AQ$90,J$1,FALSE),0)+IF(ISNUMBER(VLOOKUP($B52,#REF!,J$1,FALSE)),VLOOKUP($B52,#REF!,J$1,FALSE),0)</f>
        <v>14442818</v>
      </c>
      <c r="K52" s="101">
        <f t="shared" si="19"/>
        <v>0.48449573968466958</v>
      </c>
      <c r="L52" s="193">
        <f>+IF(ISNUMBER(VLOOKUP($B52,'Cental Budget - hwy'!$B$16:$AQ$90,L$1,FALSE)),VLOOKUP($B52,'Cental Budget - hwy'!$B$16:$AQ$90,L$1,FALSE),0)+IF(ISNUMBER(VLOOKUP($B52,#REF!,L$1,FALSE)),VLOOKUP($B52,#REF!,L$1,FALSE),0)</f>
        <v>12638749.91</v>
      </c>
      <c r="M52" s="101">
        <f t="shared" si="14"/>
        <v>0.40717622132731957</v>
      </c>
      <c r="N52" s="193">
        <f>+IF(ISNUMBER(VLOOKUP($B52,'Cental Budget - hwy'!$B$16:$AQ$90,N$1,FALSE)),VLOOKUP($B52,'Cental Budget - hwy'!$B$16:$AQ$90,N$1,FALSE),0)+IF(ISNUMBER(VLOOKUP($B52,#REF!,N$1,FALSE)),VLOOKUP($B52,#REF!,N$1,FALSE),0)</f>
        <v>12978814.83</v>
      </c>
      <c r="O52" s="101">
        <f t="shared" si="5"/>
        <v>0.40132389703153987</v>
      </c>
      <c r="P52" s="193">
        <f>+IF(ISNUMBER(VLOOKUP($B52,'Cental Budget - hwy'!$B$16:$AQ$90,P$1,FALSE)),VLOOKUP($B52,'Cental Budget - hwy'!$B$16:$AQ$90,P$1,FALSE),0)+IF(ISNUMBER(VLOOKUP($B52,#REF!,P$1,FALSE)),VLOOKUP($B52,#REF!,P$1,FALSE),0)</f>
        <v>13497405.869999999</v>
      </c>
      <c r="Q52" s="101">
        <f t="shared" si="6"/>
        <v>0.42862514671324226</v>
      </c>
      <c r="R52" s="193">
        <f>+IF(ISNUMBER(VLOOKUP($B52,'Cental Budget - hwy'!$B$16:$AQ$90,R$1,FALSE)),VLOOKUP($B52,'Cental Budget - hwy'!$B$16:$AQ$90,R$1,FALSE),0)+IF(ISNUMBER(VLOOKUP($B52,#REF!,R$1,FALSE)),VLOOKUP($B52,#REF!,R$1,FALSE),0)</f>
        <v>14792096.089999998</v>
      </c>
      <c r="S52" s="101">
        <f t="shared" si="7"/>
        <v>0.44342218031478986</v>
      </c>
      <c r="T52" s="193">
        <f>+IF(ISNUMBER(VLOOKUP($B52,'Cental Budget - hwy'!$B$16:$AQ$90,T$1,FALSE)),VLOOKUP($B52,'Cental Budget - hwy'!$B$16:$AQ$90,T$1,FALSE),0)+IF(ISNUMBER(VLOOKUP($B52,#REF!,T$1,FALSE)),VLOOKUP($B52,#REF!,T$1,FALSE),0)</f>
        <v>14500000</v>
      </c>
      <c r="U52" s="101">
        <f t="shared" si="8"/>
        <v>0.4123820538646587</v>
      </c>
      <c r="V52" s="194">
        <f>+IF(ISNUMBER(VLOOKUP($B52,'Cental Budget - hwy'!$B$16:$AQ$90,V$1,FALSE)),VLOOKUP($B52,'Cental Budget - hwy'!$B$16:$AQ$90,V$1,FALSE),0)+IF(ISNUMBER(VLOOKUP($B52,#REF!,V$1,FALSE)),VLOOKUP($B52,#REF!,V$1,FALSE),0)</f>
        <v>0</v>
      </c>
      <c r="W52" s="194">
        <f>+IF(ISNUMBER(VLOOKUP($B52,'Cental Budget - hwy'!$B$16:$AQ$90,W$1,FALSE)),VLOOKUP($B52,'Cental Budget - hwy'!$B$16:$AQ$90,W$1,FALSE),0)+IF(ISNUMBER(VLOOKUP($B52,#REF!,W$1,FALSE)),VLOOKUP($B52,#REF!,W$1,FALSE),0)</f>
        <v>0</v>
      </c>
      <c r="X52" s="193">
        <f>+'Cental Budget - hwy'!Z66</f>
        <v>14500000</v>
      </c>
      <c r="Y52" s="101">
        <f t="shared" si="9"/>
        <v>0.4123820538646587</v>
      </c>
      <c r="Z52" s="193">
        <f>+'Cental Budget - hwy'!AB66</f>
        <v>0</v>
      </c>
      <c r="AA52" s="101">
        <f t="shared" si="15"/>
        <v>0</v>
      </c>
      <c r="AB52" s="193">
        <f>+IF(ISNUMBER(VLOOKUP($B52,'Cental Budget - hwy'!$B$16:$AQ$90,AB$1,FALSE)),VLOOKUP($B52,'Cental Budget - hwy'!$B$16:$AQ$90,AB$1,FALSE),0)+IF(ISNUMBER(VLOOKUP($B52,#REF!,AB$1,FALSE)),VLOOKUP($B52,#REF!,AB$1,FALSE),0)</f>
        <v>13800000</v>
      </c>
      <c r="AC52" s="101">
        <f>+IF(ISNUMBER(VLOOKUP($B52,'Cental Budget - hwy'!$B$16:$AQ$90,AC$1,FALSE)),VLOOKUP($B52,'Cental Budget - hwy'!$B$16:$AQ$90,AC$1,FALSE),0)+IF(ISNUMBER(VLOOKUP($B52,#REF!,AC$1,FALSE)),VLOOKUP($B52,#REF!,AC$1,FALSE),0)</f>
        <v>0.37176655746194154</v>
      </c>
      <c r="AD52" s="194">
        <f>+IF(ISNUMBER(VLOOKUP($B52,'Cental Budget - hwy'!$B$16:$AQ$90,AD$1,FALSE)),VLOOKUP($B52,'Cental Budget - hwy'!$B$16:$AQ$90,AD$1,FALSE),0)+IF(ISNUMBER(VLOOKUP($B52,#REF!,AD$1,FALSE)),VLOOKUP($B52,#REF!,AD$1,FALSE),0)</f>
        <v>0</v>
      </c>
      <c r="AE52" s="193">
        <f>+'Cental Budget - hwy'!AG66</f>
        <v>14500000</v>
      </c>
      <c r="AF52" s="101">
        <f t="shared" si="11"/>
        <v>0.3906242813911705</v>
      </c>
      <c r="AG52" s="193">
        <f>+IF(ISNUMBER(VLOOKUP($B52,'Cental Budget - hwy'!$B$16:$AQ$90,AG$1,FALSE)),VLOOKUP($B52,'Cental Budget - hwy'!$B$16:$AQ$90,AG$1,FALSE),0)+IF(ISNUMBER(VLOOKUP($B52,#REF!,AG$1,FALSE)),VLOOKUP($B52,#REF!,AG$1,FALSE),0)</f>
        <v>13938000</v>
      </c>
      <c r="AH52" s="101">
        <f>+IF(ISNUMBER(VLOOKUP($B52,'Cental Budget - hwy'!$B$16:$AQ$90,AH$1,FALSE)),VLOOKUP($B52,'Cental Budget - hwy'!$B$16:$AQ$90,AH$1,FALSE),0)+IF(ISNUMBER(VLOOKUP($B52,#REF!,AH$1,FALSE)),VLOOKUP($B52,#REF!,AH$1,FALSE),0)</f>
        <v>0.35464526713944705</v>
      </c>
      <c r="AI52" s="194">
        <f>+IF(ISNUMBER(VLOOKUP($B52,'Cental Budget - hwy'!$B$16:$AQ$90,AI$1,FALSE)),VLOOKUP($B52,'Cental Budget - hwy'!$B$16:$AQ$90,AI$1,FALSE),0)+IF(ISNUMBER(VLOOKUP($B52,#REF!,AI$1,FALSE)),VLOOKUP($B52,#REF!,AI$1,FALSE),0)</f>
        <v>0</v>
      </c>
      <c r="AJ52" s="193">
        <f>+'Cental Budget - hwy'!AL66</f>
        <v>14500000</v>
      </c>
      <c r="AK52" s="101">
        <f t="shared" si="12"/>
        <v>0.3689450691291421</v>
      </c>
      <c r="AL52" s="193">
        <f>+'Cental Budget - hwy'!AN66</f>
        <v>14500000</v>
      </c>
      <c r="AM52" s="101">
        <f t="shared" si="13"/>
        <v>0.34779889623787869</v>
      </c>
      <c r="AO52" s="105"/>
      <c r="AP52" s="106"/>
      <c r="AQ52" s="106"/>
      <c r="AR52" s="106"/>
      <c r="AS52" s="106"/>
      <c r="AT52" s="107"/>
      <c r="AU52" s="81"/>
      <c r="AV52" s="81"/>
      <c r="AW52" s="81"/>
      <c r="AX52" s="81"/>
      <c r="AY52" s="81"/>
      <c r="AZ52" s="81"/>
      <c r="BA52" s="81"/>
      <c r="BB52" s="81"/>
      <c r="BC52" s="81"/>
      <c r="BD52" s="81"/>
      <c r="BE52" s="81"/>
      <c r="BF52" s="81"/>
      <c r="BG52" s="81"/>
      <c r="DS52" s="198"/>
      <c r="DT52" s="198"/>
      <c r="DU52" s="176"/>
      <c r="DV52" s="176"/>
      <c r="DW52" s="176"/>
      <c r="DX52" s="175"/>
    </row>
    <row r="53" spans="1:128" ht="13.5" customHeight="1">
      <c r="B53" s="80">
        <v>425</v>
      </c>
      <c r="C53" s="99" t="s">
        <v>451</v>
      </c>
      <c r="D53" s="193">
        <f>+IF(ISNUMBER(VLOOKUP($B53,'Cental Budget - hwy'!$B$16:$AQ$90,D$1,FALSE)),VLOOKUP($B53,'Cental Budget - hwy'!$B$16:$AQ$90,D$1,FALSE),0)+IF(ISNUMBER(VLOOKUP($B53,#REF!,D$1,FALSE)),VLOOKUP($B53,#REF!,D$1,FALSE),0)</f>
        <v>5651577</v>
      </c>
      <c r="E53" s="101">
        <f t="shared" si="16"/>
        <v>0.26299860393689795</v>
      </c>
      <c r="F53" s="193">
        <f>+IF(ISNUMBER(VLOOKUP($B53,'Cental Budget - hwy'!$B$16:$AQ$90,F$1,FALSE)),VLOOKUP($B53,'Cental Budget - hwy'!$B$16:$AQ$90,F$1,FALSE),0)+IF(ISNUMBER(VLOOKUP($B53,#REF!,F$1,FALSE)),VLOOKUP($B53,#REF!,F$1,FALSE),0)</f>
        <v>6775917</v>
      </c>
      <c r="G53" s="101">
        <f t="shared" si="17"/>
        <v>0.25278556239507555</v>
      </c>
      <c r="H53" s="193">
        <f>+IF(ISNUMBER(VLOOKUP($B53,'Cental Budget - hwy'!$B$16:$AQ$90,H$1,FALSE)),VLOOKUP($B53,'Cental Budget - hwy'!$B$16:$AQ$90,H$1,FALSE),0)+IF(ISNUMBER(VLOOKUP($B53,#REF!,H$1,FALSE)),VLOOKUP($B53,#REF!,H$1,FALSE),0)</f>
        <v>7567643</v>
      </c>
      <c r="I53" s="101">
        <f t="shared" si="18"/>
        <v>0.24525677339901478</v>
      </c>
      <c r="J53" s="193">
        <f>+IF(ISNUMBER(VLOOKUP($B53,'Cental Budget - hwy'!$B$16:$AQ$90,J$1,FALSE)),VLOOKUP($B53,'Cental Budget - hwy'!$B$16:$AQ$90,J$1,FALSE),0)+IF(ISNUMBER(VLOOKUP($B53,#REF!,J$1,FALSE)),VLOOKUP($B53,#REF!,J$1,FALSE),0)</f>
        <v>7707976</v>
      </c>
      <c r="K53" s="101">
        <f t="shared" si="19"/>
        <v>0.258570144246897</v>
      </c>
      <c r="L53" s="193">
        <f>+IF(ISNUMBER(VLOOKUP($B53,'Cental Budget - hwy'!$B$16:$AQ$90,L$1,FALSE)),VLOOKUP($B53,'Cental Budget - hwy'!$B$16:$AQ$90,L$1,FALSE),0)+IF(ISNUMBER(VLOOKUP($B53,#REF!,L$1,FALSE)),VLOOKUP($B53,#REF!,L$1,FALSE),0)</f>
        <v>7871886.5700000003</v>
      </c>
      <c r="M53" s="101">
        <f t="shared" si="14"/>
        <v>0.25360459310567013</v>
      </c>
      <c r="N53" s="193">
        <f>+IF(ISNUMBER(VLOOKUP($B53,'Cental Budget - hwy'!$B$16:$AQ$90,N$1,FALSE)),VLOOKUP($B53,'Cental Budget - hwy'!$B$16:$AQ$90,N$1,FALSE),0)+IF(ISNUMBER(VLOOKUP($B53,#REF!,N$1,FALSE)),VLOOKUP($B53,#REF!,N$1,FALSE),0)</f>
        <v>8254170.3099999996</v>
      </c>
      <c r="O53" s="101">
        <f t="shared" si="5"/>
        <v>0.25523099288806428</v>
      </c>
      <c r="P53" s="193">
        <f>+IF(ISNUMBER(VLOOKUP($B53,'Cental Budget - hwy'!$B$16:$AQ$90,P$1,FALSE)),VLOOKUP($B53,'Cental Budget - hwy'!$B$16:$AQ$90,P$1,FALSE),0)+IF(ISNUMBER(VLOOKUP($B53,#REF!,P$1,FALSE)),VLOOKUP($B53,#REF!,P$1,FALSE),0)</f>
        <v>7855049.4100000001</v>
      </c>
      <c r="Q53" s="101">
        <f t="shared" si="6"/>
        <v>0.24944583709114004</v>
      </c>
      <c r="R53" s="193">
        <f>+IF(ISNUMBER(VLOOKUP($B53,'Cental Budget - hwy'!$B$16:$AQ$90,R$1,FALSE)),VLOOKUP($B53,'Cental Budget - hwy'!$B$16:$AQ$90,R$1,FALSE),0)+IF(ISNUMBER(VLOOKUP($B53,#REF!,R$1,FALSE)),VLOOKUP($B53,#REF!,R$1,FALSE),0)</f>
        <v>7862525.3600000013</v>
      </c>
      <c r="S53" s="101">
        <f t="shared" si="7"/>
        <v>0.23569466536040659</v>
      </c>
      <c r="T53" s="193">
        <f>+IF(ISNUMBER(VLOOKUP($B53,'Cental Budget - hwy'!$B$16:$AQ$90,T$1,FALSE)),VLOOKUP($B53,'Cental Budget - hwy'!$B$16:$AQ$90,T$1,FALSE),0)+IF(ISNUMBER(VLOOKUP($B53,#REF!,T$1,FALSE)),VLOOKUP($B53,#REF!,T$1,FALSE),0)</f>
        <v>7000000</v>
      </c>
      <c r="U53" s="101">
        <f t="shared" si="8"/>
        <v>0.19908099152086972</v>
      </c>
      <c r="V53" s="194">
        <f>+IF(ISNUMBER(VLOOKUP($B53,'Cental Budget - hwy'!$B$16:$AQ$90,V$1,FALSE)),VLOOKUP($B53,'Cental Budget - hwy'!$B$16:$AQ$90,V$1,FALSE),0)+IF(ISNUMBER(VLOOKUP($B53,#REF!,V$1,FALSE)),VLOOKUP($B53,#REF!,V$1,FALSE),0)</f>
        <v>0</v>
      </c>
      <c r="W53" s="194">
        <f>+IF(ISNUMBER(VLOOKUP($B53,'Cental Budget - hwy'!$B$16:$AQ$90,W$1,FALSE)),VLOOKUP($B53,'Cental Budget - hwy'!$B$16:$AQ$90,W$1,FALSE),0)+IF(ISNUMBER(VLOOKUP($B53,#REF!,W$1,FALSE)),VLOOKUP($B53,#REF!,W$1,FALSE),0)</f>
        <v>0</v>
      </c>
      <c r="X53" s="193">
        <f>+'Cental Budget - hwy'!Z67</f>
        <v>7000000</v>
      </c>
      <c r="Y53" s="101">
        <f t="shared" si="9"/>
        <v>0.19908099152086972</v>
      </c>
      <c r="Z53" s="193">
        <f>+'Cental Budget - hwy'!AB67</f>
        <v>0</v>
      </c>
      <c r="AA53" s="101">
        <f t="shared" si="15"/>
        <v>0</v>
      </c>
      <c r="AB53" s="193">
        <f>+IF(ISNUMBER(VLOOKUP($B53,'Cental Budget - hwy'!$B$16:$AQ$90,AB$1,FALSE)),VLOOKUP($B53,'Cental Budget - hwy'!$B$16:$AQ$90,AB$1,FALSE),0)+IF(ISNUMBER(VLOOKUP($B53,#REF!,AB$1,FALSE)),VLOOKUP($B53,#REF!,AB$1,FALSE),0)</f>
        <v>7000000</v>
      </c>
      <c r="AC53" s="101">
        <f>+IF(ISNUMBER(VLOOKUP($B53,'Cental Budget - hwy'!$B$16:$AQ$90,AC$1,FALSE)),VLOOKUP($B53,'Cental Budget - hwy'!$B$16:$AQ$90,AC$1,FALSE),0)+IF(ISNUMBER(VLOOKUP($B53,#REF!,AC$1,FALSE)),VLOOKUP($B53,#REF!,AC$1,FALSE),0)</f>
        <v>0.1885772392922892</v>
      </c>
      <c r="AD53" s="194">
        <f>+IF(ISNUMBER(VLOOKUP($B53,'Cental Budget - hwy'!$B$16:$AQ$90,AD$1,FALSE)),VLOOKUP($B53,'Cental Budget - hwy'!$B$16:$AQ$90,AD$1,FALSE),0)+IF(ISNUMBER(VLOOKUP($B53,#REF!,AD$1,FALSE)),VLOOKUP($B53,#REF!,AD$1,FALSE),0)</f>
        <v>0</v>
      </c>
      <c r="AE53" s="193">
        <f>+'Cental Budget - hwy'!AG67</f>
        <v>7000000</v>
      </c>
      <c r="AF53" s="101">
        <f t="shared" si="11"/>
        <v>0.1885772392922892</v>
      </c>
      <c r="AG53" s="193">
        <f>+IF(ISNUMBER(VLOOKUP($B53,'Cental Budget - hwy'!$B$16:$AQ$90,AG$1,FALSE)),VLOOKUP($B53,'Cental Budget - hwy'!$B$16:$AQ$90,AG$1,FALSE),0)+IF(ISNUMBER(VLOOKUP($B53,#REF!,AG$1,FALSE)),VLOOKUP($B53,#REF!,AG$1,FALSE),0)</f>
        <v>7000000</v>
      </c>
      <c r="AH53" s="101">
        <f>+IF(ISNUMBER(VLOOKUP($B53,'Cental Budget - hwy'!$B$16:$AQ$90,AH$1,FALSE)),VLOOKUP($B53,'Cental Budget - hwy'!$B$16:$AQ$90,AH$1,FALSE),0)+IF(ISNUMBER(VLOOKUP($B53,#REF!,AH$1,FALSE)),VLOOKUP($B53,#REF!,AH$1,FALSE),0)</f>
        <v>0.1781114126830341</v>
      </c>
      <c r="AI53" s="194">
        <f>+IF(ISNUMBER(VLOOKUP($B53,'Cental Budget - hwy'!$B$16:$AQ$90,AI$1,FALSE)),VLOOKUP($B53,'Cental Budget - hwy'!$B$16:$AQ$90,AI$1,FALSE),0)+IF(ISNUMBER(VLOOKUP($B53,#REF!,AI$1,FALSE)),VLOOKUP($B53,#REF!,AI$1,FALSE),0)</f>
        <v>0</v>
      </c>
      <c r="AJ53" s="193">
        <f>+'Cental Budget - hwy'!AL67</f>
        <v>7000000</v>
      </c>
      <c r="AK53" s="101">
        <f t="shared" si="12"/>
        <v>0.1781114126830341</v>
      </c>
      <c r="AL53" s="193">
        <f>+'Cental Budget - hwy'!AN67</f>
        <v>7000000</v>
      </c>
      <c r="AM53" s="101">
        <f t="shared" si="13"/>
        <v>0.16790291542518282</v>
      </c>
      <c r="AO53" s="105"/>
      <c r="AP53" s="106"/>
      <c r="AQ53" s="106"/>
      <c r="AR53" s="106"/>
      <c r="AS53" s="106"/>
      <c r="AT53" s="107"/>
      <c r="AU53" s="81"/>
      <c r="AV53" s="81"/>
      <c r="AW53" s="81"/>
      <c r="AX53" s="81"/>
      <c r="AY53" s="81"/>
      <c r="AZ53" s="81"/>
      <c r="BA53" s="81"/>
      <c r="BB53" s="81"/>
      <c r="BC53" s="81"/>
      <c r="BD53" s="81"/>
      <c r="BE53" s="81"/>
      <c r="BF53" s="81"/>
      <c r="BG53" s="81"/>
      <c r="DS53" s="198"/>
      <c r="DT53" s="198"/>
      <c r="DU53" s="176"/>
      <c r="DV53" s="176"/>
      <c r="DW53" s="176"/>
      <c r="DX53" s="175"/>
    </row>
    <row r="54" spans="1:128" ht="13.5" customHeight="1">
      <c r="A54" s="80">
        <v>43</v>
      </c>
      <c r="C54" s="94" t="s">
        <v>452</v>
      </c>
      <c r="D54" s="95">
        <f>+SUM(D55:D56)</f>
        <v>48400132.840000004</v>
      </c>
      <c r="E54" s="98">
        <f t="shared" si="16"/>
        <v>2.2523213197449858</v>
      </c>
      <c r="F54" s="95">
        <f>+SUM(F55:F56)</f>
        <v>57507793.979999997</v>
      </c>
      <c r="G54" s="98">
        <f t="shared" si="17"/>
        <v>2.145412944599888</v>
      </c>
      <c r="H54" s="95">
        <f>+SUM(H55:H56)</f>
        <v>213711795.17000002</v>
      </c>
      <c r="I54" s="98">
        <f t="shared" si="18"/>
        <v>6.9261017361291159</v>
      </c>
      <c r="J54" s="95">
        <f>+SUM(J55:J56)</f>
        <v>204672473.13999999</v>
      </c>
      <c r="K54" s="98">
        <f t="shared" si="19"/>
        <v>6.8658998034216694</v>
      </c>
      <c r="L54" s="95">
        <f>+SUM(L55:L56)</f>
        <v>174638922.39000002</v>
      </c>
      <c r="M54" s="98">
        <f t="shared" si="14"/>
        <v>5.6262539429768044</v>
      </c>
      <c r="N54" s="95">
        <f>+SUM(N55:N56)</f>
        <v>87914180.150000006</v>
      </c>
      <c r="O54" s="98">
        <f t="shared" si="5"/>
        <v>2.7184347603586891</v>
      </c>
      <c r="P54" s="95">
        <f>+SUM(P55:P56)</f>
        <v>31512266.289999995</v>
      </c>
      <c r="Q54" s="98">
        <f t="shared" si="6"/>
        <v>1.0007070908224831</v>
      </c>
      <c r="R54" s="95">
        <f>+SUM(R55:R56)</f>
        <v>94307106.209999993</v>
      </c>
      <c r="S54" s="98">
        <f t="shared" si="7"/>
        <v>2.8270410359953697</v>
      </c>
      <c r="T54" s="95">
        <f>+SUM(T55:T56)</f>
        <v>101040047.61999999</v>
      </c>
      <c r="U54" s="98">
        <f t="shared" si="8"/>
        <v>2.8735932662150696</v>
      </c>
      <c r="V54" s="190"/>
      <c r="W54" s="190"/>
      <c r="X54" s="95">
        <f>+SUM(X55:X56)</f>
        <v>101040047.61999999</v>
      </c>
      <c r="Y54" s="98">
        <f t="shared" si="9"/>
        <v>2.8735932662150696</v>
      </c>
      <c r="Z54" s="95">
        <f>+SUM(Z55:Z56)</f>
        <v>0</v>
      </c>
      <c r="AA54" s="98">
        <f t="shared" si="15"/>
        <v>0</v>
      </c>
      <c r="AB54" s="95">
        <f>+SUM(AB55:AB56)</f>
        <v>0</v>
      </c>
      <c r="AC54" s="98">
        <f>AB54/AB$11*100</f>
        <v>0</v>
      </c>
      <c r="AD54" s="190">
        <v>0</v>
      </c>
      <c r="AE54" s="95">
        <f>+SUM(AE55:AE56)</f>
        <v>98897025.698200002</v>
      </c>
      <c r="AF54" s="98">
        <f t="shared" si="11"/>
        <v>2.664246868626448</v>
      </c>
      <c r="AG54" s="95">
        <f>+SUM(AG55:AG56)</f>
        <v>0</v>
      </c>
      <c r="AH54" s="98">
        <f>AG54/AG$11*100</f>
        <v>0</v>
      </c>
      <c r="AI54" s="190">
        <v>0</v>
      </c>
      <c r="AJ54" s="95">
        <f>+SUM(AJ55:AJ56)</f>
        <v>97042408.312561989</v>
      </c>
      <c r="AK54" s="98">
        <f t="shared" si="12"/>
        <v>2.4691943478163179</v>
      </c>
      <c r="AL54" s="95">
        <f>+SUM(AL55:AL56)</f>
        <v>95976211.063185126</v>
      </c>
      <c r="AM54" s="98">
        <f t="shared" si="13"/>
        <v>2.3020979498530667</v>
      </c>
      <c r="AO54" s="105"/>
      <c r="AP54" s="106"/>
      <c r="AQ54" s="106"/>
      <c r="AR54" s="106"/>
      <c r="AS54" s="106"/>
      <c r="AT54" s="107"/>
      <c r="AU54" s="81"/>
      <c r="AV54" s="81"/>
      <c r="AW54" s="81"/>
      <c r="AX54" s="81"/>
      <c r="AY54" s="81"/>
      <c r="AZ54" s="81"/>
      <c r="BA54" s="81"/>
      <c r="BB54" s="81"/>
      <c r="BC54" s="81"/>
      <c r="BD54" s="81"/>
      <c r="BE54" s="81"/>
      <c r="BF54" s="81"/>
      <c r="BG54" s="81"/>
      <c r="DS54" s="198"/>
      <c r="DT54" s="198"/>
      <c r="DU54" s="176"/>
      <c r="DV54" s="176"/>
      <c r="DW54" s="176"/>
      <c r="DX54" s="175"/>
    </row>
    <row r="55" spans="1:128" ht="13.5" customHeight="1">
      <c r="A55" s="80">
        <v>999</v>
      </c>
      <c r="B55" s="80">
        <v>431</v>
      </c>
      <c r="C55" s="99" t="s">
        <v>452</v>
      </c>
      <c r="D55" s="193">
        <f>+IF(ISNUMBER(VLOOKUP($B55,'Cental Budget - hwy'!$B$16:$AQ$90,D$1,FALSE)),VLOOKUP($B55,'Cental Budget - hwy'!$B$16:$AQ$90,D$1,FALSE),0)+IF(ISNUMBER(VLOOKUP($B55,#REF!,#REF!,FALSE)),VLOOKUP($B55,#REF!,D$1,FALSE),0)-IF(ISNUMBER(VLOOKUP($A$55,#REF!, D$1,FALSE)),VLOOKUP($A$55,#REF!, D$1,FALSE),0)</f>
        <v>48400132.840000004</v>
      </c>
      <c r="E55" s="101">
        <f t="shared" si="16"/>
        <v>2.2523213197449858</v>
      </c>
      <c r="F55" s="193">
        <f>+IF(ISNUMBER(VLOOKUP($B55,'Cental Budget - hwy'!$B$16:$AQ$90,F$1,FALSE)),VLOOKUP($B55,'Cental Budget - hwy'!$B$16:$AQ$90,F$1,FALSE),0)+IF(ISNUMBER(VLOOKUP($B55,#REF!,#REF!,FALSE)),VLOOKUP($B55,#REF!,F$1,FALSE),0)-IF(ISNUMBER(VLOOKUP($A$55,#REF!, F$1,FALSE)),VLOOKUP($A$55,#REF!, F$1,FALSE),0)</f>
        <v>57507793.979999997</v>
      </c>
      <c r="G55" s="101">
        <f t="shared" si="17"/>
        <v>2.145412944599888</v>
      </c>
      <c r="H55" s="193">
        <f>+IF(ISNUMBER(VLOOKUP($B55,'Cental Budget - hwy'!$B$16:$AQ$90,H$1,FALSE)),VLOOKUP($B55,'Cental Budget - hwy'!$B$16:$AQ$90,H$1,FALSE),0)+IF(ISNUMBER(VLOOKUP($B55,#REF!,#REF!,FALSE)),VLOOKUP($B55,#REF!,H$1,FALSE),0)-IF(ISNUMBER(VLOOKUP($A$55,#REF!, H$1,FALSE)),VLOOKUP($A$55,#REF!, H$1,FALSE),0)</f>
        <v>213711795.17000002</v>
      </c>
      <c r="I55" s="101">
        <f t="shared" si="18"/>
        <v>6.9261017361291159</v>
      </c>
      <c r="J55" s="193">
        <f>+IF(ISNUMBER(VLOOKUP($B55,'Cental Budget - hwy'!$B$16:$AQ$90,J$1,FALSE)),VLOOKUP($B55,'Cental Budget - hwy'!$B$16:$AQ$90,J$1,FALSE),0)+IF(ISNUMBER(VLOOKUP($B55,#REF!,#REF!,FALSE)),VLOOKUP($B55,#REF!,J$1,FALSE),0)-IF(ISNUMBER(VLOOKUP($A$55,#REF!, J$1,FALSE)),VLOOKUP($A$55,#REF!, J$1,FALSE),0)</f>
        <v>204672473.13999999</v>
      </c>
      <c r="K55" s="101">
        <f t="shared" si="19"/>
        <v>6.8658998034216694</v>
      </c>
      <c r="L55" s="193">
        <f>+IF(ISNUMBER(VLOOKUP($B55,'Cental Budget - hwy'!$B$16:$AQ$90,L$1,FALSE)),VLOOKUP($B55,'Cental Budget - hwy'!$B$16:$AQ$90,L$1,FALSE),0)+IF(ISNUMBER(VLOOKUP($B55,#REF!,#REF!,FALSE)),VLOOKUP($B55,#REF!,L$1,FALSE),0)-IF(ISNUMBER(VLOOKUP($A$55,#REF!, L$1,FALSE)),VLOOKUP($A$55,#REF!, L$1,FALSE),0)</f>
        <v>174638922.39000002</v>
      </c>
      <c r="M55" s="101">
        <f t="shared" si="14"/>
        <v>5.6262539429768044</v>
      </c>
      <c r="N55" s="193">
        <f>+IF(ISNUMBER(VLOOKUP($B55,'Cental Budget - hwy'!$B$16:$AQ$90,N$1,FALSE)),VLOOKUP($B55,'Cental Budget - hwy'!$B$16:$AQ$90,N$1,FALSE),0)+IF(ISNUMBER(VLOOKUP($B55,#REF!,#REF!,FALSE)),VLOOKUP($B55,#REF!,N$1,FALSE),0)-IF(ISNUMBER(VLOOKUP($A$55,#REF!, N$1,FALSE)),VLOOKUP($A$55,#REF!, N$1,FALSE),0)</f>
        <v>87914180.150000006</v>
      </c>
      <c r="O55" s="101">
        <f t="shared" si="5"/>
        <v>2.7184347603586891</v>
      </c>
      <c r="P55" s="193">
        <f>+IF(ISNUMBER(VLOOKUP($B55,'Cental Budget - hwy'!$B$16:$AQ$90,P$1,FALSE)),VLOOKUP($B55,'Cental Budget - hwy'!$B$16:$AQ$90,P$1,FALSE),0)+IF(ISNUMBER(VLOOKUP($B55,#REF!,#REF!,FALSE)),VLOOKUP($B55,#REF!,P$1,FALSE),0)-IF(ISNUMBER(VLOOKUP($A$55,#REF!, P$1,FALSE)),VLOOKUP($A$55,#REF!, P$1,FALSE),0)</f>
        <v>31512266.289999995</v>
      </c>
      <c r="Q55" s="101">
        <f t="shared" si="6"/>
        <v>1.0007070908224831</v>
      </c>
      <c r="R55" s="193">
        <f>+IF(ISNUMBER(VLOOKUP($B55,'Cental Budget - hwy'!$B$16:$AQ$90,R$1,FALSE)),VLOOKUP($B55,'Cental Budget - hwy'!$B$16:$AQ$90,R$1,FALSE),0)+IF(ISNUMBER(VLOOKUP($B55,#REF!,#REF!,FALSE)),VLOOKUP($B55,#REF!,R$1,FALSE),0)-IF(ISNUMBER(VLOOKUP($A$55,#REF!, R$1,FALSE)),VLOOKUP($A$55,#REF!, R$1,FALSE),0)</f>
        <v>94307106.209999993</v>
      </c>
      <c r="S55" s="101">
        <f t="shared" si="7"/>
        <v>2.8270410359953697</v>
      </c>
      <c r="T55" s="193">
        <f>+IF(ISNUMBER(VLOOKUP($B55,'Cental Budget - hwy'!$B$16:$AQ$90,T$1,FALSE)),VLOOKUP($B55,'Cental Budget - hwy'!$B$16:$AQ$90,T$1,FALSE),0)+IF(ISNUMBER(VLOOKUP($B55,#REF!,#REF!,FALSE)),VLOOKUP($B55,#REF!,T$1,FALSE),0)-IF(ISNUMBER(VLOOKUP($A$55,#REF!, T$1,FALSE)),VLOOKUP($A$55,#REF!, T$1,FALSE),0)</f>
        <v>101040047.61999999</v>
      </c>
      <c r="U55" s="101">
        <f t="shared" si="8"/>
        <v>2.8735932662150696</v>
      </c>
      <c r="V55" s="194">
        <f>+IF(ISNUMBER(VLOOKUP($B55,'Cental Budget - hwy'!$B$16:$AQ$90,V$1,FALSE)),VLOOKUP($B55,'Cental Budget - hwy'!$B$16:$AQ$90,V$1,FALSE),0)+IF(ISNUMBER(VLOOKUP($B55,#REF!,#REF!,FALSE)),VLOOKUP($B55,#REF!,V$1,FALSE),0)-IF(ISNUMBER(VLOOKUP($A$55,#REF!, V$1,FALSE)),VLOOKUP($A$55,#REF!, V$1,FALSE),0)</f>
        <v>0</v>
      </c>
      <c r="W55" s="194">
        <f>+IF(ISNUMBER(VLOOKUP($B55,'Cental Budget - hwy'!$B$16:$AQ$90,W$1,FALSE)),VLOOKUP($B55,'Cental Budget - hwy'!$B$16:$AQ$90,W$1,FALSE),0)+IF(ISNUMBER(VLOOKUP($B55,#REF!,#REF!,FALSE)),VLOOKUP($B55,#REF!,W$1,FALSE),0)-IF(ISNUMBER(VLOOKUP($A$55,#REF!, W$1,FALSE)),VLOOKUP($A$55,#REF!, W$1,FALSE),0)</f>
        <v>0</v>
      </c>
      <c r="X55" s="193">
        <f>+IF(ISNUMBER(VLOOKUP($B55,'Cental Budget - hwy'!$B$16:$AQ$90,X$1,FALSE)),VLOOKUP($B55,'Cental Budget - hwy'!$B$16:$AQ$90,X$1,FALSE),0)+IF(ISNUMBER(VLOOKUP($B55,#REF!,#REF!,FALSE)),VLOOKUP($B55,#REF!,X$1,FALSE),0)-IF(ISNUMBER(VLOOKUP($A$55,#REF!, X$1,FALSE)),VLOOKUP($A$55,#REF!, X$1,FALSE),0)</f>
        <v>101040047.61999999</v>
      </c>
      <c r="Y55" s="101">
        <f t="shared" si="9"/>
        <v>2.8735932662150696</v>
      </c>
      <c r="Z55" s="193">
        <f>+IF(ISNUMBER(VLOOKUP($B55,'Cental Budget - hwy'!$B$16:$AQ$90,Z$1,FALSE)),VLOOKUP($B55,'Cental Budget - hwy'!$B$16:$AQ$90,Z$1,FALSE),0)+IF(ISNUMBER(VLOOKUP($B55,#REF!,#REF!,FALSE)),VLOOKUP($B55,#REF!,Z$1,FALSE),0)-IF(ISNUMBER(VLOOKUP($A$55,#REF!, Z$1,FALSE)),VLOOKUP($A$55,#REF!, Z$1,FALSE),0)</f>
        <v>0</v>
      </c>
      <c r="AA55" s="101">
        <f t="shared" si="15"/>
        <v>0</v>
      </c>
      <c r="AB55" s="193">
        <f>+IF(ISNUMBER(VLOOKUP($B55,'Cental Budget - hwy'!$B$16:$AQ$90,AB$1,FALSE)),VLOOKUP($B55,'Cental Budget - hwy'!$B$16:$AQ$90,AB$1,FALSE),0)+IF(ISNUMBER(VLOOKUP($B55,#REF!,#REF!,FALSE)),VLOOKUP($B55,#REF!,AB$1,FALSE),0)-IF(ISNUMBER(VLOOKUP($A$55,#REF!, AB$1,FALSE)),VLOOKUP($A$55,#REF!, AB$1,FALSE),0)</f>
        <v>0</v>
      </c>
      <c r="AC55" s="101">
        <f>+IF(ISNUMBER(VLOOKUP($B55,'Cental Budget - hwy'!$B$16:$AQ$90,AC$1,FALSE)),VLOOKUP($B55,'Cental Budget - hwy'!$B$16:$AQ$90,AC$1,FALSE),0)+IF(ISNUMBER(VLOOKUP($B55,#REF!,#REF!,FALSE)),VLOOKUP($B55,#REF!,AC$1,FALSE),0)-IF(ISNUMBER(VLOOKUP($A$55,#REF!, AC$1,FALSE)),VLOOKUP($A$55,#REF!, AC$1,FALSE),0)</f>
        <v>0</v>
      </c>
      <c r="AD55" s="194">
        <f>+IF(ISNUMBER(VLOOKUP($B55,'Cental Budget - hwy'!$B$16:$AQ$90,AD$1,FALSE)),VLOOKUP($B55,'Cental Budget - hwy'!$B$16:$AQ$90,AD$1,FALSE),0)+IF(ISNUMBER(VLOOKUP($B55,#REF!,#REF!,FALSE)),VLOOKUP($B55,#REF!,AD$1,FALSE),0)-IF(ISNUMBER(VLOOKUP($A$55,#REF!, AD$1,FALSE)),VLOOKUP($A$55,#REF!, AD$1,FALSE),0)</f>
        <v>0</v>
      </c>
      <c r="AE55" s="193">
        <f>+IF(ISNUMBER(VLOOKUP($B55,'Cental Budget - hwy'!$B$16:$AQ$90,AE$1,FALSE)),VLOOKUP($B55,'Cental Budget - hwy'!$B$16:$AQ$90,AE$1,FALSE),0)+IF(ISNUMBER(VLOOKUP($B55,#REF!,#REF!,FALSE)),VLOOKUP($B55,#REF!,AE$1,FALSE),0)-IF(ISNUMBER(VLOOKUP($A$55,#REF!, AE$1,FALSE)),VLOOKUP($A$55,#REF!, AE$1,FALSE),0)</f>
        <v>98897025.698200002</v>
      </c>
      <c r="AF55" s="101">
        <f t="shared" si="11"/>
        <v>2.664246868626448</v>
      </c>
      <c r="AG55" s="193">
        <f>+IF(ISNUMBER(VLOOKUP($B55,'Cental Budget - hwy'!$B$16:$AQ$90,AG$1,FALSE)),VLOOKUP($B55,'Cental Budget - hwy'!$B$16:$AQ$90,AG$1,FALSE),0)+IF(ISNUMBER(VLOOKUP($B55,#REF!,#REF!,FALSE)),VLOOKUP($B55,#REF!,AG$1,FALSE),0)-IF(ISNUMBER(VLOOKUP($A$55,#REF!, AG$1,FALSE)),VLOOKUP($A$55,#REF!, AG$1,FALSE),0)</f>
        <v>0</v>
      </c>
      <c r="AH55" s="101">
        <f>+IF(ISNUMBER(VLOOKUP($B55,'Cental Budget - hwy'!$B$16:$AQ$90,AH$1,FALSE)),VLOOKUP($B55,'Cental Budget - hwy'!$B$16:$AQ$90,AH$1,FALSE),0)+IF(ISNUMBER(VLOOKUP($B55,#REF!,#REF!,FALSE)),VLOOKUP($B55,#REF!,AH$1,FALSE),0)-IF(ISNUMBER(VLOOKUP($A$55,#REF!, AH$1,FALSE)),VLOOKUP($A$55,#REF!, AH$1,FALSE),0)</f>
        <v>0</v>
      </c>
      <c r="AI55" s="194">
        <f>+IF(ISNUMBER(VLOOKUP($B55,'Cental Budget - hwy'!$B$16:$AQ$90,AI$1,FALSE)),VLOOKUP($B55,'Cental Budget - hwy'!$B$16:$AQ$90,AI$1,FALSE),0)+IF(ISNUMBER(VLOOKUP($B55,#REF!,#REF!,FALSE)),VLOOKUP($B55,#REF!,AI$1,FALSE),0)-IF(ISNUMBER(VLOOKUP($A$55,#REF!, AI$1,FALSE)),VLOOKUP($A$55,#REF!, AI$1,FALSE),0)</f>
        <v>0</v>
      </c>
      <c r="AJ55" s="193">
        <f>+IF(ISNUMBER(VLOOKUP($B55,'Cental Budget - hwy'!$B$16:$AQ$90,AJ$1,FALSE)),VLOOKUP($B55,'Cental Budget - hwy'!$B$16:$AQ$90,AJ$1,FALSE),0)+IF(ISNUMBER(VLOOKUP($B55,#REF!,#REF!,FALSE)),VLOOKUP($B55,#REF!,AJ$1,FALSE),0)-IF(ISNUMBER(VLOOKUP($A$55,#REF!, AJ$1,FALSE)),VLOOKUP($A$55,#REF!, AJ$1,FALSE),0)</f>
        <v>97042408.312561989</v>
      </c>
      <c r="AK55" s="101">
        <f t="shared" si="12"/>
        <v>2.4691943478163179</v>
      </c>
      <c r="AL55" s="193">
        <f>+IF(ISNUMBER(VLOOKUP($B55,'Cental Budget - hwy'!$B$16:$AQ$90,AL$1,FALSE)),VLOOKUP($B55,'Cental Budget - hwy'!$B$16:$AQ$90,AL$1,FALSE),0)+IF(ISNUMBER(VLOOKUP($B55,#REF!,#REF!,FALSE)),VLOOKUP($B55,#REF!,AL$1,FALSE),0)-IF(ISNUMBER(VLOOKUP($A$55,#REF!, AL$1,FALSE)),VLOOKUP($A$55,#REF!, AL$1,FALSE),0)</f>
        <v>95976211.063185126</v>
      </c>
      <c r="AM55" s="101">
        <f t="shared" si="13"/>
        <v>2.3020979498530667</v>
      </c>
      <c r="AO55" s="105"/>
      <c r="AP55" s="106"/>
      <c r="AQ55" s="106"/>
      <c r="AR55" s="106"/>
      <c r="AS55" s="106"/>
      <c r="AT55" s="107"/>
      <c r="AU55" s="81"/>
      <c r="AV55" s="81"/>
      <c r="AW55" s="81"/>
      <c r="AX55" s="81"/>
      <c r="AY55" s="81"/>
      <c r="AZ55" s="81"/>
      <c r="BA55" s="81"/>
      <c r="BB55" s="81"/>
      <c r="BC55" s="81"/>
      <c r="BD55" s="81"/>
      <c r="BE55" s="81"/>
      <c r="BF55" s="81"/>
      <c r="BG55" s="81"/>
      <c r="DS55" s="198"/>
      <c r="DT55" s="198"/>
      <c r="DU55" s="176"/>
      <c r="DV55" s="176"/>
      <c r="DW55" s="176"/>
      <c r="DX55" s="175"/>
    </row>
    <row r="56" spans="1:128" ht="13.5" customHeight="1" thickBot="1">
      <c r="A56" s="80" t="s">
        <v>447</v>
      </c>
      <c r="B56" s="80">
        <v>432</v>
      </c>
      <c r="C56" s="99" t="s">
        <v>453</v>
      </c>
      <c r="D56" s="193">
        <f>+IF(ISNUMBER(VLOOKUP($B56,'Cental Budget - hwy'!$B$16:$AQ$90,D$1,FALSE)),VLOOKUP($B56,'Cental Budget - hwy'!$B$16:$AQ$90,D$1,FALSE),0)+IF(ISNUMBER(VLOOKUP($B56,#REF!,D$1,FALSE)),VLOOKUP($B56,#REF!,D$1,FALSE),0)</f>
        <v>0</v>
      </c>
      <c r="E56" s="101">
        <f t="shared" si="16"/>
        <v>0</v>
      </c>
      <c r="F56" s="193">
        <f>+IF(ISNUMBER(VLOOKUP($B56,'Cental Budget - hwy'!$B$16:$AQ$90,F$1,FALSE)),VLOOKUP($B56,'Cental Budget - hwy'!$B$16:$AQ$90,F$1,FALSE),0)+IF(ISNUMBER(VLOOKUP($B56,#REF!,F$1,FALSE)),VLOOKUP($B56,#REF!,F$1,FALSE),0)</f>
        <v>0</v>
      </c>
      <c r="G56" s="101">
        <f t="shared" si="17"/>
        <v>0</v>
      </c>
      <c r="H56" s="193">
        <f>+IF(ISNUMBER(VLOOKUP($B56,'Cental Budget - hwy'!$B$16:$AQ$90,H$1,FALSE)),VLOOKUP($B56,'Cental Budget - hwy'!$B$16:$AQ$90,H$1,FALSE),0)+IF(ISNUMBER(VLOOKUP($B56,#REF!,H$1,FALSE)),VLOOKUP($B56,#REF!,H$1,FALSE),0)</f>
        <v>0</v>
      </c>
      <c r="I56" s="101">
        <f t="shared" si="18"/>
        <v>0</v>
      </c>
      <c r="J56" s="193">
        <f>+IF(ISNUMBER(VLOOKUP($B56,'Cental Budget - hwy'!$B$16:$AQ$90,J$1,FALSE)),VLOOKUP($B56,'Cental Budget - hwy'!$B$16:$AQ$90,J$1,FALSE),0)+IF(ISNUMBER(VLOOKUP($B56,#REF!,J$1,FALSE)),VLOOKUP($B56,#REF!,J$1,FALSE),0)</f>
        <v>0</v>
      </c>
      <c r="K56" s="101">
        <f t="shared" si="19"/>
        <v>0</v>
      </c>
      <c r="L56" s="193">
        <f>+IF(ISNUMBER(VLOOKUP($B56,'Cental Budget - hwy'!$B$16:$AQ$90,L$1,FALSE)),VLOOKUP($B56,'Cental Budget - hwy'!$B$16:$AQ$90,L$1,FALSE),0)+IF(ISNUMBER(VLOOKUP($B56,#REF!,L$1,FALSE)),VLOOKUP($B56,#REF!,L$1,FALSE),0)</f>
        <v>0</v>
      </c>
      <c r="M56" s="101">
        <f t="shared" si="14"/>
        <v>0</v>
      </c>
      <c r="N56" s="193">
        <f>+IF(ISNUMBER(VLOOKUP($B56,'Cental Budget - hwy'!$B$16:$AQ$90,N$1,FALSE)),VLOOKUP($B56,'Cental Budget - hwy'!$B$16:$AQ$90,N$1,FALSE),0)+IF(ISNUMBER(VLOOKUP($B56,#REF!,N$1,FALSE)),VLOOKUP($B56,#REF!,N$1,FALSE),0)</f>
        <v>0</v>
      </c>
      <c r="O56" s="101">
        <f t="shared" si="5"/>
        <v>0</v>
      </c>
      <c r="P56" s="193">
        <f>+IF(ISNUMBER(VLOOKUP($B56,'Cental Budget - hwy'!$B$16:$AQ$90,P$1,FALSE)),VLOOKUP($B56,'Cental Budget - hwy'!$B$16:$AQ$90,P$1,FALSE),0)+IF(ISNUMBER(VLOOKUP($B56,#REF!,P$1,FALSE)),VLOOKUP($B56,#REF!,P$1,FALSE),0)</f>
        <v>0</v>
      </c>
      <c r="Q56" s="101">
        <f t="shared" si="6"/>
        <v>0</v>
      </c>
      <c r="R56" s="193">
        <f>+IF(ISNUMBER(VLOOKUP($B56,'Cental Budget - hwy'!$B$16:$AQ$90,R$1,FALSE)),VLOOKUP($B56,'Cental Budget - hwy'!$B$16:$AQ$90,R$1,FALSE),0)+IF(ISNUMBER(VLOOKUP($B56,#REF!,R$1,FALSE)),VLOOKUP($B56,#REF!,R$1,FALSE),0)</f>
        <v>0</v>
      </c>
      <c r="S56" s="101">
        <f t="shared" si="7"/>
        <v>0</v>
      </c>
      <c r="T56" s="193">
        <f>+IF(ISNUMBER(VLOOKUP($B56,'Cental Budget - hwy'!$B$16:$AQ$90,T$1,FALSE)),VLOOKUP($B56,'Cental Budget - hwy'!$B$16:$AQ$90,T$1,FALSE),0)+IF(ISNUMBER(VLOOKUP($B56,#REF!,T$1,FALSE)),VLOOKUP($B56,#REF!,T$1,FALSE),0)</f>
        <v>0</v>
      </c>
      <c r="U56" s="101">
        <f t="shared" si="8"/>
        <v>0</v>
      </c>
      <c r="V56" s="194">
        <f>+IF(ISNUMBER(VLOOKUP($B56,'Cental Budget - hwy'!$B$16:$AQ$90,V$1,FALSE)),VLOOKUP($B56,'Cental Budget - hwy'!$B$16:$AQ$90,V$1,FALSE),0)+IF(ISNUMBER(VLOOKUP($B56,#REF!,V$1,FALSE)),VLOOKUP($B56,#REF!,V$1,FALSE),0)</f>
        <v>0</v>
      </c>
      <c r="W56" s="194">
        <f>+IF(ISNUMBER(VLOOKUP($B56,'Cental Budget - hwy'!$B$16:$AQ$90,W$1,FALSE)),VLOOKUP($B56,'Cental Budget - hwy'!$B$16:$AQ$90,W$1,FALSE),0)+IF(ISNUMBER(VLOOKUP($B56,#REF!,W$1,FALSE)),VLOOKUP($B56,#REF!,W$1,FALSE),0)</f>
        <v>0</v>
      </c>
      <c r="X56" s="193">
        <f>+IF(ISNUMBER(VLOOKUP($B56,'Cental Budget - hwy'!$B$16:$AQ$90,X$1,FALSE)),VLOOKUP($B56,'Cental Budget - hwy'!$B$16:$AQ$90,X$1,FALSE),0)+IF(ISNUMBER(VLOOKUP($B56,#REF!,X$1,FALSE)),VLOOKUP($B56,#REF!,X$1,FALSE),0)</f>
        <v>0</v>
      </c>
      <c r="Y56" s="101">
        <f t="shared" si="9"/>
        <v>0</v>
      </c>
      <c r="Z56" s="193">
        <f>+IF(ISNUMBER(VLOOKUP($B56,'Cental Budget - hwy'!$B$16:$AQ$90,Z$1,FALSE)),VLOOKUP($B56,'Cental Budget - hwy'!$B$16:$AQ$90,Z$1,FALSE),0)+IF(ISNUMBER(VLOOKUP($B56,#REF!,Z$1,FALSE)),VLOOKUP($B56,#REF!,Z$1,FALSE),0)</f>
        <v>0</v>
      </c>
      <c r="AA56" s="101">
        <f t="shared" si="15"/>
        <v>0</v>
      </c>
      <c r="AB56" s="193">
        <f>+IF(ISNUMBER(VLOOKUP($B56,'Cental Budget - hwy'!$B$16:$AQ$90,AB$1,FALSE)),VLOOKUP($B56,'Cental Budget - hwy'!$B$16:$AQ$90,AB$1,FALSE),0)+IF(ISNUMBER(VLOOKUP($B56,#REF!,AB$1,FALSE)),VLOOKUP($B56,#REF!,AB$1,FALSE),0)</f>
        <v>0</v>
      </c>
      <c r="AC56" s="101">
        <f>+IF(ISNUMBER(VLOOKUP($B56,'Cental Budget - hwy'!$B$16:$AQ$90,AC$1,FALSE)),VLOOKUP($B56,'Cental Budget - hwy'!$B$16:$AQ$90,AC$1,FALSE),0)+IF(ISNUMBER(VLOOKUP($B56,#REF!,AC$1,FALSE)),VLOOKUP($B56,#REF!,AC$1,FALSE),0)</f>
        <v>0</v>
      </c>
      <c r="AD56" s="194">
        <f>+IF(ISNUMBER(VLOOKUP($B56,'Cental Budget - hwy'!$B$16:$AQ$90,AD$1,FALSE)),VLOOKUP($B56,'Cental Budget - hwy'!$B$16:$AQ$90,AD$1,FALSE),0)+IF(ISNUMBER(VLOOKUP($B56,#REF!,AD$1,FALSE)),VLOOKUP($B56,#REF!,AD$1,FALSE),0)</f>
        <v>0</v>
      </c>
      <c r="AE56" s="193">
        <f>+IF(ISNUMBER(VLOOKUP($B56,'Cental Budget - hwy'!$B$16:$AQ$90,AE$1,FALSE)),VLOOKUP($B56,'Cental Budget - hwy'!$B$16:$AQ$90,AE$1,FALSE),0)+IF(ISNUMBER(VLOOKUP($B56,#REF!,AE$1,FALSE)),VLOOKUP($B56,#REF!,AE$1,FALSE),0)</f>
        <v>0</v>
      </c>
      <c r="AF56" s="101">
        <f t="shared" si="11"/>
        <v>0</v>
      </c>
      <c r="AG56" s="193">
        <f>+IF(ISNUMBER(VLOOKUP($B56,'Cental Budget - hwy'!$B$16:$AQ$90,AG$1,FALSE)),VLOOKUP($B56,'Cental Budget - hwy'!$B$16:$AQ$90,AG$1,FALSE),0)+IF(ISNUMBER(VLOOKUP($B56,#REF!,AG$1,FALSE)),VLOOKUP($B56,#REF!,AG$1,FALSE),0)</f>
        <v>0</v>
      </c>
      <c r="AH56" s="101">
        <f>+IF(ISNUMBER(VLOOKUP($B56,'Cental Budget - hwy'!$B$16:$AQ$90,AH$1,FALSE)),VLOOKUP($B56,'Cental Budget - hwy'!$B$16:$AQ$90,AH$1,FALSE),0)+IF(ISNUMBER(VLOOKUP($B56,#REF!,AH$1,FALSE)),VLOOKUP($B56,#REF!,AH$1,FALSE),0)</f>
        <v>0</v>
      </c>
      <c r="AI56" s="194">
        <f>+IF(ISNUMBER(VLOOKUP($B56,'Cental Budget - hwy'!$B$16:$AQ$90,AI$1,FALSE)),VLOOKUP($B56,'Cental Budget - hwy'!$B$16:$AQ$90,AI$1,FALSE),0)+IF(ISNUMBER(VLOOKUP($B56,#REF!,AI$1,FALSE)),VLOOKUP($B56,#REF!,AI$1,FALSE),0)</f>
        <v>0</v>
      </c>
      <c r="AJ56" s="193">
        <f>+IF(ISNUMBER(VLOOKUP($B56,'Cental Budget - hwy'!$B$16:$AQ$90,AJ$1,FALSE)),VLOOKUP($B56,'Cental Budget - hwy'!$B$16:$AQ$90,AJ$1,FALSE),0)+IF(ISNUMBER(VLOOKUP($B56,#REF!,AJ$1,FALSE)),VLOOKUP($B56,#REF!,AJ$1,FALSE),0)</f>
        <v>0</v>
      </c>
      <c r="AK56" s="101">
        <f t="shared" si="12"/>
        <v>0</v>
      </c>
      <c r="AL56" s="193">
        <f>+IF(ISNUMBER(VLOOKUP($B56,'Cental Budget - hwy'!$B$16:$AQ$90,AL$1,FALSE)),VLOOKUP($B56,'Cental Budget - hwy'!$B$16:$AQ$90,AL$1,FALSE),0)+IF(ISNUMBER(VLOOKUP($B56,#REF!,AL$1,FALSE)),VLOOKUP($B56,#REF!,AL$1,FALSE),0)</f>
        <v>0</v>
      </c>
      <c r="AM56" s="101">
        <f t="shared" si="13"/>
        <v>0</v>
      </c>
      <c r="AO56" s="105"/>
      <c r="AP56" s="106"/>
      <c r="AQ56" s="106"/>
      <c r="AR56" s="106"/>
      <c r="AS56" s="106"/>
      <c r="AT56" s="107"/>
      <c r="AU56" s="81"/>
      <c r="AV56" s="81"/>
      <c r="AW56" s="81"/>
      <c r="AX56" s="81"/>
      <c r="AY56" s="81"/>
      <c r="AZ56" s="81"/>
      <c r="BA56" s="81"/>
      <c r="BB56" s="81"/>
      <c r="BC56" s="81"/>
      <c r="BD56" s="81"/>
      <c r="BE56" s="81"/>
      <c r="BF56" s="81"/>
      <c r="BG56" s="81"/>
      <c r="DS56" s="198"/>
      <c r="DT56" s="198"/>
      <c r="DU56" s="176"/>
      <c r="DV56" s="176"/>
      <c r="DW56" s="176"/>
      <c r="DX56" s="175"/>
    </row>
    <row r="57" spans="1:128" ht="13.5" customHeight="1" thickTop="1" thickBot="1">
      <c r="B57" s="80">
        <v>44</v>
      </c>
      <c r="C57" s="234" t="s">
        <v>281</v>
      </c>
      <c r="D57" s="232">
        <f>+IF(ISNUMBER(VLOOKUP($B57,'Cental Budget - hwy'!$B$16:$AQ$90,D$1,FALSE)),VLOOKUP($B57,'Cental Budget - hwy'!$B$16:$AQ$90,D$1,FALSE),0)+IF(ISNUMBER(VLOOKUP($B57,#REF!,D$1,FALSE)),VLOOKUP($B57,#REF!,D$1,FALSE),0)</f>
        <v>0</v>
      </c>
      <c r="E57" s="226">
        <f t="shared" si="16"/>
        <v>0</v>
      </c>
      <c r="F57" s="232">
        <f>+IF(ISNUMBER(VLOOKUP($B57,'Cental Budget - hwy'!$B$16:$AQ$90,F$1,FALSE)),VLOOKUP($B57,'Cental Budget - hwy'!$B$16:$AQ$90,F$1,FALSE),0)+IF(ISNUMBER(VLOOKUP($B57,#REF!,F$1,FALSE)),VLOOKUP($B57,#REF!,F$1,FALSE),0)</f>
        <v>82459238.990000024</v>
      </c>
      <c r="G57" s="226">
        <f t="shared" si="17"/>
        <v>3.076263346017535</v>
      </c>
      <c r="H57" s="232">
        <f>+IF(ISNUMBER(VLOOKUP($B57,'Cental Budget - hwy'!$B$16:$AQ$90,H$1,FALSE)),VLOOKUP($B57,'Cental Budget - hwy'!$B$16:$AQ$90,H$1,FALSE),0)+IF(ISNUMBER(VLOOKUP($B57,#REF!,H$1,FALSE)),VLOOKUP($B57,#REF!,H$1,FALSE),0)</f>
        <v>73370859.459999993</v>
      </c>
      <c r="I57" s="226">
        <f t="shared" si="18"/>
        <v>2.3778474027741763</v>
      </c>
      <c r="J57" s="232">
        <f>+IF(ISNUMBER(VLOOKUP($B57,'Cental Budget - hwy'!$B$16:$AQ$90,J$1,FALSE)),VLOOKUP($B57,'Cental Budget - hwy'!$B$16:$AQ$90,J$1,FALSE),0)+IF(ISNUMBER(VLOOKUP($B57,#REF!,J$1,FALSE)),VLOOKUP($B57,#REF!,J$1,FALSE),0)</f>
        <v>112364696.64</v>
      </c>
      <c r="K57" s="226">
        <f t="shared" si="19"/>
        <v>3.7693625172760821</v>
      </c>
      <c r="L57" s="232">
        <f>+IF(ISNUMBER(VLOOKUP($B57,'Cental Budget - hwy'!$B$16:$AQ$90,L$1,FALSE)),VLOOKUP($B57,'Cental Budget - hwy'!$B$16:$AQ$90,L$1,FALSE),0)+IF(ISNUMBER(VLOOKUP($B57,#REF!,L$1,FALSE)),VLOOKUP($B57,#REF!,L$1,FALSE),0)</f>
        <v>63250368.810000002</v>
      </c>
      <c r="M57" s="226">
        <f t="shared" si="14"/>
        <v>2.0377051807345361</v>
      </c>
      <c r="N57" s="232">
        <f>+IF(ISNUMBER(VLOOKUP($B57,'Cental Budget - hwy'!$B$16:$AQ$90,N$1,FALSE)),VLOOKUP($B57,'Cental Budget - hwy'!$B$16:$AQ$90,N$1,FALSE),0)+IF(ISNUMBER(VLOOKUP($B57,#REF!,N$1,FALSE)),VLOOKUP($B57,#REF!,N$1,FALSE),0)</f>
        <v>67115187.969999999</v>
      </c>
      <c r="O57" s="226">
        <f t="shared" si="5"/>
        <v>2.0752995661719229</v>
      </c>
      <c r="P57" s="232">
        <f>+IF(ISNUMBER(VLOOKUP($B57,'Cental Budget - hwy'!$B$16:$AQ$90,P$1,FALSE)),VLOOKUP($B57,'Cental Budget - hwy'!$B$16:$AQ$90,P$1,FALSE),0)+IF(ISNUMBER(VLOOKUP($B57,#REF!,P$1,FALSE)),VLOOKUP($B57,#REF!,P$1,FALSE),0)</f>
        <v>76042699.980000004</v>
      </c>
      <c r="Q57" s="226">
        <f t="shared" si="6"/>
        <v>2.4148205773261355</v>
      </c>
      <c r="R57" s="232">
        <f>+IF(ISNUMBER(VLOOKUP($B57,'Cental Budget - hwy'!$B$16:$AQ$90,R$1,FALSE)),VLOOKUP($B57,'Cental Budget - hwy'!$B$16:$AQ$90,R$1,FALSE),0)+IF(ISNUMBER(VLOOKUP($B57,#REF!,R$1,FALSE)),VLOOKUP($B57,#REF!,R$1,FALSE),0)</f>
        <v>61785502.860000007</v>
      </c>
      <c r="S57" s="226">
        <f t="shared" si="7"/>
        <v>1.8521419968700925</v>
      </c>
      <c r="T57" s="232">
        <f>+IF(ISNUMBER(VLOOKUP($B57,'Cental Budget - hwy'!$B$16:$AQ$90,T$1,FALSE)),VLOOKUP($B57,'Cental Budget - hwy'!$B$16:$AQ$90,T$1,FALSE),0)+IF(ISNUMBER(VLOOKUP($B57,#REF!,T$1,FALSE)),VLOOKUP($B57,#REF!,T$1,FALSE),0)</f>
        <v>101820500</v>
      </c>
      <c r="U57" s="226">
        <f t="shared" si="8"/>
        <v>2.8957894424501021</v>
      </c>
      <c r="V57" s="236">
        <f>+IF(ISNUMBER(VLOOKUP($B57,'Cental Budget - hwy'!$B$16:$AQ$90,V$1,FALSE)),VLOOKUP($B57,'Cental Budget - hwy'!$B$16:$AQ$90,V$1,FALSE),0)+IF(ISNUMBER(VLOOKUP($B57,#REF!,V$1,FALSE)),VLOOKUP($B57,#REF!,V$1,FALSE),0)</f>
        <v>0</v>
      </c>
      <c r="W57" s="236">
        <f>+IF(ISNUMBER(VLOOKUP($B57,'Cental Budget - hwy'!$B$16:$AQ$90,W$1,FALSE)),VLOOKUP($B57,'Cental Budget - hwy'!$B$16:$AQ$90,W$1,FALSE),0)+IF(ISNUMBER(VLOOKUP($B57,#REF!,W$1,FALSE)),VLOOKUP($B57,#REF!,W$1,FALSE),0)</f>
        <v>0</v>
      </c>
      <c r="X57" s="232">
        <f>+IF(ISNUMBER(VLOOKUP($B57,'Cental Budget - hwy'!$B$16:$AQ$90,X$1,FALSE)),VLOOKUP($B57,'Cental Budget - hwy'!$B$16:$AQ$90,X$1,FALSE),0)+IF(ISNUMBER(VLOOKUP($B57,#REF!,X$1,FALSE)),VLOOKUP($B57,#REF!,X$1,FALSE),0)</f>
        <v>126820500</v>
      </c>
      <c r="Y57" s="226">
        <f t="shared" si="9"/>
        <v>3.6067929835960655</v>
      </c>
      <c r="Z57" s="232">
        <f>+IF(ISNUMBER(VLOOKUP($B57,'Cental Budget - hwy'!$B$16:$AQ$90,Z$1,FALSE)),VLOOKUP($B57,'Cental Budget - hwy'!$B$16:$AQ$90,Z$1,FALSE),0)+IF(ISNUMBER(VLOOKUP($B57,#REF!,Z$1,FALSE)),VLOOKUP($B57,#REF!,Z$1,FALSE),0)</f>
        <v>0</v>
      </c>
      <c r="AA57" s="226">
        <f t="shared" si="15"/>
        <v>0</v>
      </c>
      <c r="AB57" s="232">
        <f>+IF(ISNUMBER(VLOOKUP($B57,'Cental Budget - hwy'!$B$16:$AQ$90,AB$1,FALSE)),VLOOKUP($B57,'Cental Budget - hwy'!$B$16:$AQ$90,AB$1,FALSE),0)+IF(ISNUMBER(VLOOKUP($B57,#REF!,AB$1,FALSE)),VLOOKUP($B57,#REF!,AB$1,FALSE),0)</f>
        <v>105626377.49180001</v>
      </c>
      <c r="AC57" s="226">
        <f>+IF(ISNUMBER(VLOOKUP($B57,'Cental Budget - hwy'!$B$16:$AQ$90,AC$1,FALSE)),VLOOKUP($B57,'Cental Budget - hwy'!$B$16:$AQ$90,AC$1,FALSE),0)+IF(ISNUMBER(VLOOKUP($B57,#REF!,AC$1,FALSE)),VLOOKUP($B57,#REF!,AC$1,FALSE),0)</f>
        <v>2.8455329519784058</v>
      </c>
      <c r="AD57" s="235">
        <f>+IF(ISNUMBER(VLOOKUP($B57,'Cental Budget - hwy'!$B$16:$AQ$90,AD$1,FALSE)),VLOOKUP($B57,'Cental Budget - hwy'!$B$16:$AQ$90,AD$1,FALSE),0)+IF(ISNUMBER(VLOOKUP($B57,#REF!,AD$1,FALSE)),VLOOKUP($B57,#REF!,AD$1,FALSE),0)</f>
        <v>0</v>
      </c>
      <c r="AE57" s="232">
        <f>+IF(ISNUMBER(VLOOKUP($B57,'Cental Budget - hwy'!$B$16:$AQ$90,AE$1,FALSE)),VLOOKUP($B57,'Cental Budget - hwy'!$B$16:$AQ$90,AE$1,FALSE),0)+IF(ISNUMBER(VLOOKUP($B57,#REF!,AE$1,FALSE)),VLOOKUP($B57,#REF!,AE$1,FALSE),0)</f>
        <v>230000000</v>
      </c>
      <c r="AF57" s="226">
        <f t="shared" si="11"/>
        <v>6.196109291032359</v>
      </c>
      <c r="AG57" s="232">
        <f>+IF(ISNUMBER(VLOOKUP($B57,'Cental Budget - hwy'!$B$16:$AQ$90,AG$1,FALSE)),VLOOKUP($B57,'Cental Budget - hwy'!$B$16:$AQ$90,AG$1,FALSE),0)+IF(ISNUMBER(VLOOKUP($B57,#REF!,AG$1,FALSE)),VLOOKUP($B57,#REF!,AG$1,FALSE),0)</f>
        <v>108795168.81655401</v>
      </c>
      <c r="AH57" s="226">
        <f>+IF(ISNUMBER(VLOOKUP($B57,'Cental Budget - hwy'!$B$16:$AQ$90,AH$1,FALSE)),VLOOKUP($B57,'Cental Budget - hwy'!$B$16:$AQ$90,AH$1,FALSE),0)+IF(ISNUMBER(VLOOKUP($B57,#REF!,AH$1,FALSE)),VLOOKUP($B57,#REF!,AH$1,FALSE),0)</f>
        <v>2.7682373158579447</v>
      </c>
      <c r="AI57" s="235">
        <f>+IF(ISNUMBER(VLOOKUP($B57,'Cental Budget - hwy'!$B$16:$AQ$90,AI$1,FALSE)),VLOOKUP($B57,'Cental Budget - hwy'!$B$16:$AQ$90,AI$1,FALSE),0)+IF(ISNUMBER(VLOOKUP($B57,#REF!,AI$1,FALSE)),VLOOKUP($B57,#REF!,AI$1,FALSE),0)</f>
        <v>0</v>
      </c>
      <c r="AJ57" s="232">
        <f>+IF(ISNUMBER(VLOOKUP($B57,'Cental Budget - hwy'!$B$16:$AQ$90,AJ$1,FALSE)),VLOOKUP($B57,'Cental Budget - hwy'!$B$16:$AQ$90,AJ$1,FALSE),0)+IF(ISNUMBER(VLOOKUP($B57,#REF!,AJ$1,FALSE)),VLOOKUP($B57,#REF!,AJ$1,FALSE),0)</f>
        <v>330000000</v>
      </c>
      <c r="AK57" s="226">
        <f t="shared" si="12"/>
        <v>8.3966808836287505</v>
      </c>
      <c r="AL57" s="232">
        <f>+IF(ISNUMBER(VLOOKUP($B57,'Cental Budget - hwy'!$B$16:$AQ$90,AL$1,FALSE)),VLOOKUP($B57,'Cental Budget - hwy'!$B$16:$AQ$90,AL$1,FALSE),0)+IF(ISNUMBER(VLOOKUP($B57,#REF!,AL$1,FALSE)),VLOOKUP($B57,#REF!,AL$1,FALSE),0)</f>
        <v>430000000</v>
      </c>
      <c r="AM57" s="226">
        <f t="shared" si="13"/>
        <v>10.314036233261231</v>
      </c>
      <c r="AO57" s="105"/>
      <c r="AP57" s="106"/>
      <c r="AQ57" s="106"/>
      <c r="AR57" s="106"/>
      <c r="AS57" s="106"/>
      <c r="AT57" s="107"/>
      <c r="AU57" s="81"/>
      <c r="AV57" s="81"/>
      <c r="AW57" s="81"/>
      <c r="AX57" s="81"/>
      <c r="AY57" s="81"/>
      <c r="AZ57" s="81"/>
      <c r="BA57" s="81"/>
      <c r="BB57" s="81"/>
      <c r="BC57" s="81"/>
      <c r="BD57" s="81"/>
      <c r="BE57" s="81"/>
      <c r="BF57" s="81"/>
      <c r="BG57" s="81"/>
      <c r="DS57" s="198"/>
      <c r="DT57" s="198"/>
      <c r="DU57" s="176"/>
      <c r="DV57" s="176"/>
      <c r="DW57" s="176"/>
      <c r="DX57" s="175"/>
    </row>
    <row r="58" spans="1:128" ht="13.5" customHeight="1" thickTop="1">
      <c r="B58" s="80">
        <v>451</v>
      </c>
      <c r="C58" s="94" t="s">
        <v>111</v>
      </c>
      <c r="D58" s="189">
        <f>+IF(ISNUMBER(VLOOKUP($B58,'Cental Budget - hwy'!$B$16:$AQ$90,D$1,FALSE)),VLOOKUP($B58,'Cental Budget - hwy'!$B$16:$AQ$90,D$1,FALSE),0)+IF(ISNUMBER(VLOOKUP($B58,#REF!,D$1,FALSE)),VLOOKUP($B58,#REF!,D$1,FALSE),0)</f>
        <v>15376170.280000001</v>
      </c>
      <c r="E58" s="98">
        <f t="shared" si="16"/>
        <v>0.71553679929266145</v>
      </c>
      <c r="F58" s="189">
        <f>+IF(ISNUMBER(VLOOKUP($B58,'Cental Budget - hwy'!$B$16:$AQ$90,F$1,FALSE)),VLOOKUP($B58,'Cental Budget - hwy'!$B$16:$AQ$90,F$1,FALSE),0)+IF(ISNUMBER(VLOOKUP($B58,#REF!,F$1,FALSE)),VLOOKUP($B58,#REF!,F$1,FALSE),0)</f>
        <v>7854938.71</v>
      </c>
      <c r="G58" s="98">
        <f t="shared" si="17"/>
        <v>0.29304005633277375</v>
      </c>
      <c r="H58" s="189">
        <f>+IF(ISNUMBER(VLOOKUP($B58,'Cental Budget - hwy'!$B$16:$AQ$90,H$1,FALSE)),VLOOKUP($B58,'Cental Budget - hwy'!$B$16:$AQ$90,H$1,FALSE),0)+IF(ISNUMBER(VLOOKUP($B58,#REF!,H$1,FALSE)),VLOOKUP($B58,#REF!,H$1,FALSE),0)</f>
        <v>62542537.890000001</v>
      </c>
      <c r="I58" s="98">
        <f t="shared" si="18"/>
        <v>2.026916576678766</v>
      </c>
      <c r="J58" s="189">
        <f>+IF(ISNUMBER(VLOOKUP($B58,'Cental Budget - hwy'!$B$16:$AQ$90,J$1,FALSE)),VLOOKUP($B58,'Cental Budget - hwy'!$B$16:$AQ$90,J$1,FALSE),0)+IF(ISNUMBER(VLOOKUP($B58,#REF!,J$1,FALSE)),VLOOKUP($B58,#REF!,J$1,FALSE),0)</f>
        <v>17652930.710000001</v>
      </c>
      <c r="K58" s="98">
        <f t="shared" si="19"/>
        <v>0.59218150654142909</v>
      </c>
      <c r="L58" s="189">
        <f>+IF(ISNUMBER(VLOOKUP($B58,'Cental Budget - hwy'!$B$16:$AQ$90,L$1,FALSE)),VLOOKUP($B58,'Cental Budget - hwy'!$B$16:$AQ$90,L$1,FALSE),0)+IF(ISNUMBER(VLOOKUP($B58,#REF!,L$1,FALSE)),VLOOKUP($B58,#REF!,L$1,FALSE),0)</f>
        <v>4074638.38</v>
      </c>
      <c r="M58" s="98">
        <f t="shared" si="14"/>
        <v>0.13127056636597936</v>
      </c>
      <c r="N58" s="189">
        <f>+IF(ISNUMBER(VLOOKUP($B58,'Cental Budget - hwy'!$B$16:$AQ$90,N$1,FALSE)),VLOOKUP($B58,'Cental Budget - hwy'!$B$16:$AQ$90,N$1,FALSE),0)+IF(ISNUMBER(VLOOKUP($B58,#REF!,N$1,FALSE)),VLOOKUP($B58,#REF!,N$1,FALSE),0)</f>
        <v>2091768.6</v>
      </c>
      <c r="O58" s="98">
        <f t="shared" si="5"/>
        <v>6.4680538033395185E-2</v>
      </c>
      <c r="P58" s="189">
        <f>+IF(ISNUMBER(VLOOKUP($B58,'Cental Budget - hwy'!$B$16:$AQ$90,P$1,FALSE)),VLOOKUP($B58,'Cental Budget - hwy'!$B$16:$AQ$90,P$1,FALSE),0)+IF(ISNUMBER(VLOOKUP($B58,#REF!,P$1,FALSE)),VLOOKUP($B58,#REF!,P$1,FALSE),0)</f>
        <v>1775633.69</v>
      </c>
      <c r="Q58" s="98">
        <f t="shared" si="6"/>
        <v>5.6387224198158142E-2</v>
      </c>
      <c r="R58" s="189">
        <f>+IF(ISNUMBER(VLOOKUP($B58,'Cental Budget - hwy'!$B$16:$AQ$90,R$1,FALSE)),VLOOKUP($B58,'Cental Budget - hwy'!$B$16:$AQ$90,R$1,FALSE),0)+IF(ISNUMBER(VLOOKUP($B58,#REF!,R$1,FALSE)),VLOOKUP($B58,#REF!,R$1,FALSE),0)</f>
        <v>2752781.9799999995</v>
      </c>
      <c r="S58" s="98">
        <f t="shared" si="7"/>
        <v>8.2520055310353516E-2</v>
      </c>
      <c r="T58" s="189">
        <f>+IF(ISNUMBER(VLOOKUP($B58,'Cental Budget - hwy'!$B$16:$AQ$90,T$1,FALSE)),VLOOKUP($B58,'Cental Budget - hwy'!$B$16:$AQ$90,T$1,FALSE),0)+IF(ISNUMBER(VLOOKUP($B58,#REF!,T$1,FALSE)),VLOOKUP($B58,#REF!,T$1,FALSE),0)</f>
        <v>2140000</v>
      </c>
      <c r="U58" s="98">
        <f t="shared" si="8"/>
        <v>6.0861903122094448E-2</v>
      </c>
      <c r="V58" s="190">
        <f>+IF(ISNUMBER(VLOOKUP($B58,'Cental Budget - hwy'!$B$16:$AQ$90,V$1,FALSE)),VLOOKUP($B58,'Cental Budget - hwy'!$B$16:$AQ$90,V$1,FALSE),0)+IF(ISNUMBER(VLOOKUP($B58,#REF!,V$1,FALSE)),VLOOKUP($B58,#REF!,V$1,FALSE),0)</f>
        <v>0</v>
      </c>
      <c r="W58" s="190">
        <f>+IF(ISNUMBER(VLOOKUP($B58,'Cental Budget - hwy'!$B$16:$AQ$90,W$1,FALSE)),VLOOKUP($B58,'Cental Budget - hwy'!$B$16:$AQ$90,W$1,FALSE),0)+IF(ISNUMBER(VLOOKUP($B58,#REF!,W$1,FALSE)),VLOOKUP($B58,#REF!,W$1,FALSE),0)</f>
        <v>0</v>
      </c>
      <c r="X58" s="189">
        <f>+IF(ISNUMBER(VLOOKUP($B58,'Cental Budget - hwy'!$B$16:$AQ$90,X$1,FALSE)),VLOOKUP($B58,'Cental Budget - hwy'!$B$16:$AQ$90,X$1,FALSE),0)+IF(ISNUMBER(VLOOKUP($B58,#REF!,X$1,FALSE)),VLOOKUP($B58,#REF!,X$1,FALSE),0)</f>
        <v>2140000</v>
      </c>
      <c r="Y58" s="98">
        <f t="shared" si="9"/>
        <v>6.0861903122094448E-2</v>
      </c>
      <c r="Z58" s="189">
        <f>+IF(ISNUMBER(VLOOKUP($B58,'Cental Budget - hwy'!$B$16:$AQ$90,Z$1,FALSE)),VLOOKUP($B58,'Cental Budget - hwy'!$B$16:$AQ$90,Z$1,FALSE),0)+IF(ISNUMBER(VLOOKUP($B58,#REF!,Z$1,FALSE)),VLOOKUP($B58,#REF!,Z$1,FALSE),0)</f>
        <v>0</v>
      </c>
      <c r="AA58" s="98">
        <f t="shared" si="15"/>
        <v>0</v>
      </c>
      <c r="AB58" s="189">
        <f>+IF(ISNUMBER(VLOOKUP($B58,'Cental Budget - hwy'!$B$16:$AQ$90,AB$1,FALSE)),VLOOKUP($B58,'Cental Budget - hwy'!$B$16:$AQ$90,AB$1,FALSE),0)+IF(ISNUMBER(VLOOKUP($B58,#REF!,AB$1,FALSE)),VLOOKUP($B58,#REF!,AB$1,FALSE),0)</f>
        <v>2076802.3255813953</v>
      </c>
      <c r="AC58" s="98">
        <f>+IF(ISNUMBER(VLOOKUP($B58,'Cental Budget - hwy'!$B$16:$AQ$90,AC$1,FALSE)),VLOOKUP($B58,'Cental Budget - hwy'!$B$16:$AQ$90,AC$1,FALSE),0)+IF(ISNUMBER(VLOOKUP($B58,#REF!,AC$1,FALSE)),VLOOKUP($B58,#REF!,AC$1,FALSE),0)</f>
        <v>5.5948235587706494E-2</v>
      </c>
      <c r="AD58" s="190">
        <f>+IF(ISNUMBER(VLOOKUP($B58,'Cental Budget - hwy'!$B$16:$AQ$90,AD$1,FALSE)),VLOOKUP($B58,'Cental Budget - hwy'!$B$16:$AQ$90,AD$1,FALSE),0)+IF(ISNUMBER(VLOOKUP($B58,#REF!,AD$1,FALSE)),VLOOKUP($B58,#REF!,AD$1,FALSE),0)</f>
        <v>0</v>
      </c>
      <c r="AE58" s="189">
        <f>+IF(ISNUMBER(VLOOKUP($B58,'Cental Budget - hwy'!$B$16:$AQ$90,AE$1,FALSE)),VLOOKUP($B58,'Cental Budget - hwy'!$B$16:$AQ$90,AE$1,FALSE),0)+IF(ISNUMBER(VLOOKUP($B58,#REF!,AE$1,FALSE)),VLOOKUP($B58,#REF!,AE$1,FALSE),0)</f>
        <v>2118600</v>
      </c>
      <c r="AF58" s="98">
        <f t="shared" si="11"/>
        <v>5.7074248452091983E-2</v>
      </c>
      <c r="AG58" s="189">
        <f>+IF(ISNUMBER(VLOOKUP($B58,'Cental Budget - hwy'!$B$16:$AQ$90,AG$1,FALSE)),VLOOKUP($B58,'Cental Budget - hwy'!$B$16:$AQ$90,AG$1,FALSE),0)+IF(ISNUMBER(VLOOKUP($B58,#REF!,AG$1,FALSE)),VLOOKUP($B58,#REF!,AG$1,FALSE),0)</f>
        <v>2282067.67171444</v>
      </c>
      <c r="AH58" s="98">
        <f>+IF(ISNUMBER(VLOOKUP($B58,'Cental Budget - hwy'!$B$16:$AQ$90,AH$1,FALSE)),VLOOKUP($B58,'Cental Budget - hwy'!$B$16:$AQ$90,AH$1,FALSE),0)+IF(ISNUMBER(VLOOKUP($B58,#REF!,AH$1,FALSE)),VLOOKUP($B58,#REF!,AH$1,FALSE),0)</f>
        <v>5.8066042406763059E-2</v>
      </c>
      <c r="AI58" s="190">
        <f>+IF(ISNUMBER(VLOOKUP($B58,'Cental Budget - hwy'!$B$16:$AQ$90,AI$1,FALSE)),VLOOKUP($B58,'Cental Budget - hwy'!$B$16:$AQ$90,AI$1,FALSE),0)+IF(ISNUMBER(VLOOKUP($B58,#REF!,AI$1,FALSE)),VLOOKUP($B58,#REF!,AI$1,FALSE),0)</f>
        <v>0</v>
      </c>
      <c r="AJ58" s="189">
        <f>+IF(ISNUMBER(VLOOKUP($B58,'Cental Budget - hwy'!$B$16:$AQ$90,AJ$1,FALSE)),VLOOKUP($B58,'Cental Budget - hwy'!$B$16:$AQ$90,AJ$1,FALSE),0)+IF(ISNUMBER(VLOOKUP($B58,#REF!,AJ$1,FALSE)),VLOOKUP($B58,#REF!,AJ$1,FALSE),0)</f>
        <v>2013526</v>
      </c>
      <c r="AK58" s="98">
        <f t="shared" si="12"/>
        <v>5.1233137190574131E-2</v>
      </c>
      <c r="AL58" s="189">
        <f>+IF(ISNUMBER(VLOOKUP($B58,'Cental Budget - hwy'!$B$16:$AQ$90,AL$1,FALSE)),VLOOKUP($B58,'Cental Budget - hwy'!$B$16:$AQ$90,AL$1,FALSE),0)+IF(ISNUMBER(VLOOKUP($B58,#REF!,AL$1,FALSE)),VLOOKUP($B58,#REF!,AL$1,FALSE),0)</f>
        <v>1953120.22</v>
      </c>
      <c r="AM58" s="98">
        <f t="shared" si="13"/>
        <v>4.6847797016267782E-2</v>
      </c>
      <c r="AO58" s="105"/>
      <c r="AP58" s="106"/>
      <c r="AQ58" s="106"/>
      <c r="AR58" s="106"/>
      <c r="AS58" s="106"/>
      <c r="AT58" s="107"/>
      <c r="AU58" s="81"/>
      <c r="AV58" s="81"/>
      <c r="AW58" s="81"/>
      <c r="AX58" s="81"/>
      <c r="AY58" s="81"/>
      <c r="AZ58" s="81"/>
      <c r="BA58" s="81"/>
      <c r="BB58" s="81"/>
      <c r="BC58" s="81"/>
      <c r="BD58" s="81"/>
      <c r="BE58" s="81"/>
      <c r="BF58" s="81"/>
      <c r="BG58" s="81"/>
      <c r="DS58" s="198"/>
      <c r="DT58" s="198"/>
      <c r="DU58" s="176"/>
      <c r="DV58" s="176"/>
      <c r="DW58" s="176"/>
      <c r="DX58" s="175"/>
    </row>
    <row r="59" spans="1:128" ht="13.5" customHeight="1" thickBot="1">
      <c r="B59" s="80">
        <v>47</v>
      </c>
      <c r="C59" s="94" t="s">
        <v>118</v>
      </c>
      <c r="D59" s="189">
        <f>+IF(ISNUMBER(VLOOKUP($B59,'Cental Budget - hwy'!$B$16:$AQ$90,D$1,FALSE)),VLOOKUP($B59,'Cental Budget - hwy'!$B$16:$AQ$90,D$1,FALSE),0)+IF(ISNUMBER(VLOOKUP($B59,#REF!,D$1,FALSE)),VLOOKUP($B59,#REF!,D$1,FALSE),0)</f>
        <v>27204434.309999999</v>
      </c>
      <c r="E59" s="98">
        <f t="shared" si="16"/>
        <v>1.2659702317464749</v>
      </c>
      <c r="F59" s="189">
        <f>+IF(ISNUMBER(VLOOKUP($B59,'Cental Budget - hwy'!$B$16:$AQ$90,F$1,FALSE)),VLOOKUP($B59,'Cental Budget - hwy'!$B$16:$AQ$90,F$1,FALSE),0)+IF(ISNUMBER(VLOOKUP($B59,#REF!,F$1,FALSE)),VLOOKUP($B59,#REF!,F$1,FALSE),0)</f>
        <v>10844803.16</v>
      </c>
      <c r="G59" s="98">
        <f t="shared" si="17"/>
        <v>0.40458135273269918</v>
      </c>
      <c r="H59" s="189">
        <f>+IF(ISNUMBER(VLOOKUP($B59,'Cental Budget - hwy'!$B$16:$AQ$90,H$1,FALSE)),VLOOKUP($B59,'Cental Budget - hwy'!$B$16:$AQ$90,H$1,FALSE),0)+IF(ISNUMBER(VLOOKUP($B59,#REF!,H$1,FALSE)),VLOOKUP($B59,#REF!,H$1,FALSE),0)</f>
        <v>12437562.109999999</v>
      </c>
      <c r="I59" s="98">
        <f t="shared" si="18"/>
        <v>0.40308407149338865</v>
      </c>
      <c r="J59" s="189">
        <f>+IF(ISNUMBER(VLOOKUP($B59,'Cental Budget - hwy'!$B$16:$AQ$90,J$1,FALSE)),VLOOKUP($B59,'Cental Budget - hwy'!$B$16:$AQ$90,J$1,FALSE),0)+IF(ISNUMBER(VLOOKUP($B59,#REF!,J$1,FALSE)),VLOOKUP($B59,#REF!,J$1,FALSE),0)</f>
        <v>10901702.15</v>
      </c>
      <c r="K59" s="98">
        <f t="shared" si="19"/>
        <v>0.36570621100301914</v>
      </c>
      <c r="L59" s="189">
        <f>+IF(ISNUMBER(VLOOKUP($B59,'Cental Budget - hwy'!$B$16:$AQ$90,L$1,FALSE)),VLOOKUP($B59,'Cental Budget - hwy'!$B$16:$AQ$90,L$1,FALSE),0)+IF(ISNUMBER(VLOOKUP($B59,#REF!,L$1,FALSE)),VLOOKUP($B59,#REF!,L$1,FALSE),0)</f>
        <v>12589952.310000001</v>
      </c>
      <c r="M59" s="98">
        <f t="shared" si="14"/>
        <v>0.40560413369845366</v>
      </c>
      <c r="N59" s="189">
        <f>+IF(ISNUMBER(VLOOKUP($B59,'Cental Budget - hwy'!$B$16:$AQ$90,N$1,FALSE)),VLOOKUP($B59,'Cental Budget - hwy'!$B$16:$AQ$90,N$1,FALSE),0)+IF(ISNUMBER(VLOOKUP($B59,#REF!,N$1,FALSE)),VLOOKUP($B59,#REF!,N$1,FALSE),0)</f>
        <v>11789476.779999999</v>
      </c>
      <c r="O59" s="98">
        <f t="shared" si="5"/>
        <v>0.36454782869511437</v>
      </c>
      <c r="P59" s="189">
        <f>+IF(ISNUMBER(VLOOKUP($B59,'Cental Budget - hwy'!$B$16:$AQ$90,P$1,FALSE)),VLOOKUP($B59,'Cental Budget - hwy'!$B$16:$AQ$90,P$1,FALSE),0)+IF(ISNUMBER(VLOOKUP($B59,#REF!,P$1,FALSE)),VLOOKUP($B59,#REF!,P$1,FALSE),0)</f>
        <v>18078018.460000001</v>
      </c>
      <c r="Q59" s="98">
        <f t="shared" si="6"/>
        <v>0.57408759796760878</v>
      </c>
      <c r="R59" s="189">
        <f>+IF(ISNUMBER(VLOOKUP($B59,'Cental Budget - hwy'!$B$16:$AQ$90,R$1,FALSE)),VLOOKUP($B59,'Cental Budget - hwy'!$B$16:$AQ$90,R$1,FALSE),0)+IF(ISNUMBER(VLOOKUP($B59,#REF!,R$1,FALSE)),VLOOKUP($B59,#REF!,R$1,FALSE),0)</f>
        <v>14126844.789999999</v>
      </c>
      <c r="S59" s="98">
        <f t="shared" si="7"/>
        <v>0.42347996386970665</v>
      </c>
      <c r="T59" s="189">
        <f>+IF(ISNUMBER(VLOOKUP($B59,'Cental Budget - hwy'!$B$16:$AQ$90,T$1,FALSE)),VLOOKUP($B59,'Cental Budget - hwy'!$B$16:$AQ$90,T$1,FALSE),0)+IF(ISNUMBER(VLOOKUP($B59,#REF!,T$1,FALSE)),VLOOKUP($B59,#REF!,T$1,FALSE),0)</f>
        <v>8854649.7699999996</v>
      </c>
      <c r="U59" s="98">
        <f t="shared" si="8"/>
        <v>0.25182749368309154</v>
      </c>
      <c r="V59" s="190">
        <f>+IF(ISNUMBER(VLOOKUP($B59,'Cental Budget - hwy'!$B$16:$AQ$90,V$1,FALSE)),VLOOKUP($B59,'Cental Budget - hwy'!$B$16:$AQ$90,V$1,FALSE),0)+IF(ISNUMBER(VLOOKUP($B59,#REF!,V$1,FALSE)),VLOOKUP($B59,#REF!,V$1,FALSE),0)</f>
        <v>0</v>
      </c>
      <c r="W59" s="190">
        <f>+IF(ISNUMBER(VLOOKUP($B59,'Cental Budget - hwy'!$B$16:$AQ$90,W$1,FALSE)),VLOOKUP($B59,'Cental Budget - hwy'!$B$16:$AQ$90,W$1,FALSE),0)+IF(ISNUMBER(VLOOKUP($B59,#REF!,W$1,FALSE)),VLOOKUP($B59,#REF!,W$1,FALSE),0)</f>
        <v>0</v>
      </c>
      <c r="X59" s="189">
        <f>+IF(ISNUMBER(VLOOKUP($B59,'Cental Budget - hwy'!$B$16:$AQ$90,X$1,FALSE)),VLOOKUP($B59,'Cental Budget - hwy'!$B$16:$AQ$90,X$1,FALSE),0)+IF(ISNUMBER(VLOOKUP($B59,#REF!,X$1,FALSE)),VLOOKUP($B59,#REF!,X$1,FALSE),0)</f>
        <v>8854649.7699999996</v>
      </c>
      <c r="Y59" s="98">
        <f t="shared" si="9"/>
        <v>0.25182749368309154</v>
      </c>
      <c r="Z59" s="189">
        <f>+IF(ISNUMBER(VLOOKUP($B59,'Cental Budget - hwy'!$B$16:$AQ$90,Z$1,FALSE)),VLOOKUP($B59,'Cental Budget - hwy'!$B$16:$AQ$90,Z$1,FALSE),0)+IF(ISNUMBER(VLOOKUP($B59,#REF!,Z$1,FALSE)),VLOOKUP($B59,#REF!,Z$1,FALSE),0)</f>
        <v>0</v>
      </c>
      <c r="AA59" s="98">
        <f t="shared" si="15"/>
        <v>0</v>
      </c>
      <c r="AB59" s="189">
        <f>+IF(ISNUMBER(VLOOKUP($B59,'Cental Budget - hwy'!$B$16:$AQ$90,AB$1,FALSE)),VLOOKUP($B59,'Cental Budget - hwy'!$B$16:$AQ$90,AB$1,FALSE),0)+IF(ISNUMBER(VLOOKUP($B59,#REF!,AB$1,FALSE)),VLOOKUP($B59,#REF!,AB$1,FALSE),0)</f>
        <v>15000000</v>
      </c>
      <c r="AC59" s="98">
        <f>+IF(ISNUMBER(VLOOKUP($B59,'Cental Budget - hwy'!$B$16:$AQ$90,AC$1,FALSE)),VLOOKUP($B59,'Cental Budget - hwy'!$B$16:$AQ$90,AC$1,FALSE),0)+IF(ISNUMBER(VLOOKUP($B59,#REF!,AC$1,FALSE)),VLOOKUP($B59,#REF!,AC$1,FALSE),0)</f>
        <v>0.40409408419776255</v>
      </c>
      <c r="AD59" s="190">
        <f>+IF(ISNUMBER(VLOOKUP($B59,'Cental Budget - hwy'!$B$16:$AQ$90,AD$1,FALSE)),VLOOKUP($B59,'Cental Budget - hwy'!$B$16:$AQ$90,AD$1,FALSE),0)+IF(ISNUMBER(VLOOKUP($B59,#REF!,AD$1,FALSE)),VLOOKUP($B59,#REF!,AD$1,FALSE),0)</f>
        <v>0</v>
      </c>
      <c r="AE59" s="189">
        <f>+IF(ISNUMBER(VLOOKUP($B59,'Cental Budget - hwy'!$B$16:$AQ$90,AE$1,FALSE)),VLOOKUP($B59,'Cental Budget - hwy'!$B$16:$AQ$90,AE$1,FALSE),0)+IF(ISNUMBER(VLOOKUP($B59,#REF!,AE$1,FALSE)),VLOOKUP($B59,#REF!,AE$1,FALSE),0)</f>
        <v>15000000</v>
      </c>
      <c r="AF59" s="98">
        <f t="shared" si="11"/>
        <v>0.40409408419776255</v>
      </c>
      <c r="AG59" s="189">
        <f>+IF(ISNUMBER(VLOOKUP($B59,'Cental Budget - hwy'!$B$16:$AQ$90,AG$1,FALSE)),VLOOKUP($B59,'Cental Budget - hwy'!$B$16:$AQ$90,AG$1,FALSE),0)+IF(ISNUMBER(VLOOKUP($B59,#REF!,AG$1,FALSE)),VLOOKUP($B59,#REF!,AG$1,FALSE),0)</f>
        <v>15000000</v>
      </c>
      <c r="AH59" s="98">
        <f>+IF(ISNUMBER(VLOOKUP($B59,'Cental Budget - hwy'!$B$16:$AQ$90,AH$1,FALSE)),VLOOKUP($B59,'Cental Budget - hwy'!$B$16:$AQ$90,AH$1,FALSE),0)+IF(ISNUMBER(VLOOKUP($B59,#REF!,AH$1,FALSE)),VLOOKUP($B59,#REF!,AH$1,FALSE),0)</f>
        <v>0.38166731289221589</v>
      </c>
      <c r="AI59" s="190">
        <f>+IF(ISNUMBER(VLOOKUP($B59,'Cental Budget - hwy'!$B$16:$AQ$90,AI$1,FALSE)),VLOOKUP($B59,'Cental Budget - hwy'!$B$16:$AQ$90,AI$1,FALSE),0)+IF(ISNUMBER(VLOOKUP($B59,#REF!,AI$1,FALSE)),VLOOKUP($B59,#REF!,AI$1,FALSE),0)</f>
        <v>0</v>
      </c>
      <c r="AJ59" s="189">
        <f>+IF(ISNUMBER(VLOOKUP($B59,'Cental Budget - hwy'!$B$16:$AQ$90,AJ$1,FALSE)),VLOOKUP($B59,'Cental Budget - hwy'!$B$16:$AQ$90,AJ$1,FALSE),0)+IF(ISNUMBER(VLOOKUP($B59,#REF!,AJ$1,FALSE)),VLOOKUP($B59,#REF!,AJ$1,FALSE),0)</f>
        <v>15000000</v>
      </c>
      <c r="AK59" s="98">
        <f t="shared" si="12"/>
        <v>0.38166731289221589</v>
      </c>
      <c r="AL59" s="189">
        <f>+IF(ISNUMBER(VLOOKUP($B59,'Cental Budget - hwy'!$B$16:$AQ$90,AL$1,FALSE)),VLOOKUP($B59,'Cental Budget - hwy'!$B$16:$AQ$90,AL$1,FALSE),0)+IF(ISNUMBER(VLOOKUP($B59,#REF!,AL$1,FALSE)),VLOOKUP($B59,#REF!,AL$1,FALSE),0)</f>
        <v>15000000</v>
      </c>
      <c r="AM59" s="98">
        <f t="shared" si="13"/>
        <v>0.35979196162539173</v>
      </c>
      <c r="AO59" s="105"/>
      <c r="AP59" s="106"/>
      <c r="AQ59" s="106"/>
      <c r="AR59" s="106"/>
      <c r="AS59" s="106"/>
      <c r="AT59" s="107"/>
      <c r="AU59" s="81"/>
      <c r="AV59" s="81"/>
      <c r="AW59" s="81"/>
      <c r="AX59" s="81"/>
      <c r="AY59" s="81"/>
      <c r="AZ59" s="81"/>
      <c r="BA59" s="81"/>
      <c r="BB59" s="81"/>
      <c r="BC59" s="81"/>
      <c r="BD59" s="81"/>
      <c r="BE59" s="81"/>
      <c r="BF59" s="81"/>
      <c r="BG59" s="81"/>
      <c r="DS59" s="198"/>
      <c r="DT59" s="198"/>
      <c r="DU59" s="176"/>
      <c r="DV59" s="176"/>
      <c r="DW59" s="176"/>
      <c r="DX59" s="175"/>
    </row>
    <row r="60" spans="1:128" ht="13.5" customHeight="1" thickTop="1" thickBot="1">
      <c r="B60" s="80">
        <v>462</v>
      </c>
      <c r="C60" s="181" t="s">
        <v>113</v>
      </c>
      <c r="D60" s="200">
        <f>+IF(ISNUMBER(VLOOKUP($B60,'Cental Budget - hwy'!$B$16:$AQ$90,D$1,FALSE)),VLOOKUP($B60,'Cental Budget - hwy'!$B$16:$AQ$90,D$1,FALSE),0)+IF(ISNUMBER(VLOOKUP($B60,#REF!,D$1,FALSE)),VLOOKUP($B60,#REF!,D$1,FALSE),0)</f>
        <v>1050939.44</v>
      </c>
      <c r="E60" s="183">
        <f t="shared" si="16"/>
        <v>4.8905925822513845E-2</v>
      </c>
      <c r="F60" s="200">
        <f>+IF(ISNUMBER(VLOOKUP($B60,'Cental Budget - hwy'!$B$16:$AQ$90,F$1,FALSE)),VLOOKUP($B60,'Cental Budget - hwy'!$B$16:$AQ$90,F$1,FALSE),0)+IF(ISNUMBER(VLOOKUP($B60,#REF!,F$1,FALSE)),VLOOKUP($B60,#REF!,F$1,FALSE),0)</f>
        <v>0</v>
      </c>
      <c r="G60" s="183">
        <f t="shared" si="17"/>
        <v>0</v>
      </c>
      <c r="H60" s="200">
        <f>+IF(ISNUMBER(VLOOKUP($B60,'Cental Budget - hwy'!$B$16:$AQ$90,H$1,FALSE)),VLOOKUP($B60,'Cental Budget - hwy'!$B$16:$AQ$90,H$1,FALSE),0)+IF(ISNUMBER(VLOOKUP($B60,#REF!,H$1,FALSE)),VLOOKUP($B60,#REF!,H$1,FALSE),0)</f>
        <v>0</v>
      </c>
      <c r="I60" s="183">
        <f t="shared" si="18"/>
        <v>0</v>
      </c>
      <c r="J60" s="200">
        <f>+IF(ISNUMBER(VLOOKUP($B60,'Cental Budget - hwy'!$B$16:$AQ$90,J$1,FALSE)),VLOOKUP($B60,'Cental Budget - hwy'!$B$16:$AQ$90,J$1,FALSE),0)+IF(ISNUMBER(VLOOKUP($B60,#REF!,J$1,FALSE)),VLOOKUP($B60,#REF!,J$1,FALSE),0)</f>
        <v>1769093.84</v>
      </c>
      <c r="K60" s="183">
        <f t="shared" si="19"/>
        <v>5.9345650452868166E-2</v>
      </c>
      <c r="L60" s="200">
        <f>+IF(ISNUMBER(VLOOKUP($B60,'Cental Budget - hwy'!$B$16:$AQ$90,L$1,FALSE)),VLOOKUP($B60,'Cental Budget - hwy'!$B$16:$AQ$90,L$1,FALSE),0)+IF(ISNUMBER(VLOOKUP($B60,#REF!,L$1,FALSE)),VLOOKUP($B60,#REF!,L$1,FALSE),0)</f>
        <v>0</v>
      </c>
      <c r="M60" s="183">
        <f t="shared" si="14"/>
        <v>0</v>
      </c>
      <c r="N60" s="200">
        <f>+IF(ISNUMBER(VLOOKUP($B60,'Cental Budget - hwy'!$B$16:$AQ$90,N$1,FALSE)),VLOOKUP($B60,'Cental Budget - hwy'!$B$16:$AQ$90,N$1,FALSE),0)+IF(ISNUMBER(VLOOKUP($B60,#REF!,N$1,FALSE)),VLOOKUP($B60,#REF!,N$1,FALSE),0)</f>
        <v>33915163.380000003</v>
      </c>
      <c r="O60" s="183">
        <f t="shared" si="5"/>
        <v>1.0487063506493508</v>
      </c>
      <c r="P60" s="200">
        <f>+IF(ISNUMBER(VLOOKUP($B60,'Cental Budget - hwy'!$B$16:$AQ$90,P$1,FALSE)),VLOOKUP($B60,'Cental Budget - hwy'!$B$16:$AQ$90,P$1,FALSE),0)+IF(ISNUMBER(VLOOKUP($B60,#REF!,P$1,FALSE)),VLOOKUP($B60,#REF!,P$1,FALSE),0)</f>
        <v>24719832.629999999</v>
      </c>
      <c r="Q60" s="183">
        <f t="shared" si="6"/>
        <v>0.78500579961892658</v>
      </c>
      <c r="R60" s="200">
        <f>+IF(ISNUMBER(VLOOKUP($B60,'Cental Budget - hwy'!$B$16:$AQ$90,R$1,FALSE)),VLOOKUP($B60,'Cental Budget - hwy'!$B$16:$AQ$90,R$1,FALSE),0)+IF(ISNUMBER(VLOOKUP($B60,#REF!,R$1,FALSE)),VLOOKUP($B60,#REF!,R$1,FALSE),0)</f>
        <v>107239350.92999999</v>
      </c>
      <c r="S60" s="183">
        <f t="shared" si="7"/>
        <v>3.2147105126683559</v>
      </c>
      <c r="T60" s="200">
        <f>+IF(ISNUMBER(VLOOKUP($B60,'Cental Budget - hwy'!$B$16:$AQ$90,T$1,FALSE)),VLOOKUP($B60,'Cental Budget - hwy'!$B$16:$AQ$90,T$1,FALSE),0)+IF(ISNUMBER(VLOOKUP($B60,#REF!,T$1,FALSE)),VLOOKUP($B60,#REF!,T$1,FALSE),0)</f>
        <v>0</v>
      </c>
      <c r="U60" s="183">
        <f t="shared" si="8"/>
        <v>0</v>
      </c>
      <c r="V60" s="201">
        <f>+IF(ISNUMBER(VLOOKUP($B60,'Cental Budget - hwy'!$B$16:$AQ$90,V$1,FALSE)),VLOOKUP($B60,'Cental Budget - hwy'!$B$16:$AQ$90,V$1,FALSE),0)+IF(ISNUMBER(VLOOKUP($B60,#REF!,V$1,FALSE)),VLOOKUP($B60,#REF!,V$1,FALSE),0)</f>
        <v>5153201.26</v>
      </c>
      <c r="W60" s="201">
        <f>+IF(ISNUMBER(VLOOKUP($B60,'Cental Budget - hwy'!$B$16:$AQ$90,W$1,FALSE)),VLOOKUP($B60,'Cental Budget - hwy'!$B$16:$AQ$90,W$1,FALSE),0)+IF(ISNUMBER(VLOOKUP($B60,#REF!,W$1,FALSE)),VLOOKUP($B60,#REF!,W$1,FALSE),0)</f>
        <v>0</v>
      </c>
      <c r="X60" s="200">
        <f>+IF(ISNUMBER(VLOOKUP($B60,'Cental Budget - hwy'!$B$16:$AQ$90,X$1,FALSE)),VLOOKUP($B60,'Cental Budget - hwy'!$B$16:$AQ$90,X$1,FALSE),0)+IF(ISNUMBER(VLOOKUP($B60,#REF!,X$1,FALSE)),VLOOKUP($B60,#REF!,X$1,FALSE),0)</f>
        <v>5153201.26</v>
      </c>
      <c r="Y60" s="183">
        <f t="shared" si="9"/>
        <v>0.14655777376391357</v>
      </c>
      <c r="Z60" s="200">
        <f>+IF(ISNUMBER(VLOOKUP($B60,'Cental Budget - hwy'!$B$16:$AQ$90,Z$1,FALSE)),VLOOKUP($B60,'Cental Budget - hwy'!$B$16:$AQ$90,Z$1,FALSE),0)+IF(ISNUMBER(VLOOKUP($B60,#REF!,Z$1,FALSE)),VLOOKUP($B60,#REF!,Z$1,FALSE),0)</f>
        <v>0</v>
      </c>
      <c r="AA60" s="183">
        <f t="shared" si="15"/>
        <v>0</v>
      </c>
      <c r="AB60" s="200">
        <f>+IF(ISNUMBER(VLOOKUP($B60,'Cental Budget - hwy'!$B$16:$AQ$90,AB$1,FALSE)),VLOOKUP($B60,'Cental Budget - hwy'!$B$16:$AQ$90,AB$1,FALSE),0)+IF(ISNUMBER(VLOOKUP($B60,#REF!,AB$1,FALSE)),VLOOKUP($B60,#REF!,AB$1,FALSE),0)</f>
        <v>0</v>
      </c>
      <c r="AC60" s="183">
        <f>+IF(ISNUMBER(VLOOKUP($B60,'Cental Budget - hwy'!$B$16:$AQ$90,AC$1,FALSE)),VLOOKUP($B60,'Cental Budget - hwy'!$B$16:$AQ$90,AC$1,FALSE),0)+IF(ISNUMBER(VLOOKUP($B60,#REF!,AC$1,FALSE)),VLOOKUP($B60,#REF!,AC$1,FALSE),0)</f>
        <v>0</v>
      </c>
      <c r="AD60" s="201">
        <f>+IF(ISNUMBER(VLOOKUP($B60,'Cental Budget - hwy'!$B$16:$AQ$90,AD$1,FALSE)),VLOOKUP($B60,'Cental Budget - hwy'!$B$16:$AQ$90,AD$1,FALSE),0)+IF(ISNUMBER(VLOOKUP($B60,#REF!,AD$1,FALSE)),VLOOKUP($B60,#REF!,AD$1,FALSE),0)</f>
        <v>0</v>
      </c>
      <c r="AE60" s="200">
        <f>+IF(ISNUMBER(VLOOKUP($B60,'Cental Budget - hwy'!$B$16:$AQ$90,AE$1,FALSE)),VLOOKUP($B60,'Cental Budget - hwy'!$B$16:$AQ$90,AE$1,FALSE),0)+IF(ISNUMBER(VLOOKUP($B60,#REF!,AE$1,FALSE)),VLOOKUP($B60,#REF!,AE$1,FALSE),0)</f>
        <v>0</v>
      </c>
      <c r="AF60" s="183">
        <f t="shared" si="11"/>
        <v>0</v>
      </c>
      <c r="AG60" s="200">
        <f>+IF(ISNUMBER(VLOOKUP($B60,'Cental Budget - hwy'!$B$16:$AQ$90,AG$1,FALSE)),VLOOKUP($B60,'Cental Budget - hwy'!$B$16:$AQ$90,AG$1,FALSE),0)+IF(ISNUMBER(VLOOKUP($B60,#REF!,AG$1,FALSE)),VLOOKUP($B60,#REF!,AG$1,FALSE),0)</f>
        <v>0</v>
      </c>
      <c r="AH60" s="183">
        <f>+IF(ISNUMBER(VLOOKUP($B60,'Cental Budget - hwy'!$B$16:$AQ$90,AH$1,FALSE)),VLOOKUP($B60,'Cental Budget - hwy'!$B$16:$AQ$90,AH$1,FALSE),0)+IF(ISNUMBER(VLOOKUP($B60,#REF!,AH$1,FALSE)),VLOOKUP($B60,#REF!,AH$1,FALSE),0)</f>
        <v>0</v>
      </c>
      <c r="AI60" s="201">
        <f>+IF(ISNUMBER(VLOOKUP($B60,'Cental Budget - hwy'!$B$16:$AQ$90,AI$1,FALSE)),VLOOKUP($B60,'Cental Budget - hwy'!$B$16:$AQ$90,AI$1,FALSE),0)+IF(ISNUMBER(VLOOKUP($B60,#REF!,AI$1,FALSE)),VLOOKUP($B60,#REF!,AI$1,FALSE),0)</f>
        <v>0</v>
      </c>
      <c r="AJ60" s="200">
        <f>+IF(ISNUMBER(VLOOKUP($B60,'Cental Budget - hwy'!$B$16:$AQ$90,AJ$1,FALSE)),VLOOKUP($B60,'Cental Budget - hwy'!$B$16:$AQ$90,AJ$1,FALSE),0)+IF(ISNUMBER(VLOOKUP($B60,#REF!,AJ$1,FALSE)),VLOOKUP($B60,#REF!,AJ$1,FALSE),0)</f>
        <v>0</v>
      </c>
      <c r="AK60" s="183">
        <f t="shared" si="12"/>
        <v>0</v>
      </c>
      <c r="AL60" s="200">
        <f>+IF(ISNUMBER(VLOOKUP($B60,'Cental Budget - hwy'!$B$16:$AQ$90,AL$1,FALSE)),VLOOKUP($B60,'Cental Budget - hwy'!$B$16:$AQ$90,AL$1,FALSE),0)+IF(ISNUMBER(VLOOKUP($B60,#REF!,AL$1,FALSE)),VLOOKUP($B60,#REF!,AL$1,FALSE),0)</f>
        <v>0</v>
      </c>
      <c r="AM60" s="183">
        <f t="shared" si="13"/>
        <v>0</v>
      </c>
      <c r="AO60" s="105"/>
      <c r="AP60" s="106"/>
      <c r="AQ60" s="106"/>
      <c r="AR60" s="106"/>
      <c r="AS60" s="106"/>
      <c r="AT60" s="107"/>
      <c r="AU60" s="81"/>
      <c r="AV60" s="81"/>
      <c r="AW60" s="81"/>
      <c r="AX60" s="81"/>
      <c r="AY60" s="81"/>
      <c r="AZ60" s="81"/>
      <c r="BA60" s="81"/>
      <c r="BB60" s="81"/>
      <c r="BC60" s="81"/>
      <c r="BD60" s="81"/>
      <c r="BE60" s="81"/>
      <c r="BF60" s="81"/>
      <c r="BG60" s="81"/>
      <c r="DS60" s="198"/>
      <c r="DT60" s="198"/>
      <c r="DU60" s="176"/>
      <c r="DV60" s="176"/>
      <c r="DW60" s="176"/>
      <c r="DX60" s="175"/>
    </row>
    <row r="61" spans="1:128" ht="13.5" customHeight="1" thickTop="1" thickBot="1">
      <c r="C61" s="180" t="s">
        <v>152</v>
      </c>
      <c r="D61" s="189">
        <f>+IF(ISNUMBER(VLOOKUP($B61,'Cental Budget - hwy'!$B$16:$AQ$90,D$1,FALSE)),VLOOKUP($B61,'Cental Budget - hwy'!$B$16:$AQ$90,D$1,FALSE),0)+IF(ISNUMBER(VLOOKUP($B61,#REF!,D$1,FALSE)),VLOOKUP($B61,#REF!,D$1,FALSE),0)</f>
        <v>0</v>
      </c>
      <c r="E61" s="98">
        <f t="shared" si="16"/>
        <v>0</v>
      </c>
      <c r="F61" s="189">
        <f>+IF(ISNUMBER(VLOOKUP($B61,'Cental Budget - hwy'!$B$16:$AQ$90,F$1,FALSE)),VLOOKUP($B61,'Cental Budget - hwy'!$B$16:$AQ$90,F$1,FALSE),0)+IF(ISNUMBER(VLOOKUP($B61,#REF!,F$1,FALSE)),VLOOKUP($B61,#REF!,F$1,FALSE),0)</f>
        <v>0</v>
      </c>
      <c r="G61" s="98">
        <f t="shared" si="17"/>
        <v>0</v>
      </c>
      <c r="H61" s="189">
        <f>+IF(ISNUMBER(VLOOKUP($B61,'Cental Budget - hwy'!$B$16:$AQ$90,H$1,FALSE)),VLOOKUP($B61,'Cental Budget - hwy'!$B$16:$AQ$90,H$1,FALSE),0)+IF(ISNUMBER(VLOOKUP($B61,#REF!,H$1,FALSE)),VLOOKUP($B61,#REF!,H$1,FALSE),0)</f>
        <v>0</v>
      </c>
      <c r="I61" s="98">
        <f t="shared" si="18"/>
        <v>0</v>
      </c>
      <c r="J61" s="189">
        <f>+IF(ISNUMBER(VLOOKUP($B61,'Cental Budget - hwy'!$B$16:$AQ$90,J$1,FALSE)),VLOOKUP($B61,'Cental Budget - hwy'!$B$16:$AQ$90,J$1,FALSE),0)+IF(ISNUMBER(VLOOKUP($B61,#REF!,J$1,FALSE)),VLOOKUP($B61,#REF!,J$1,FALSE),0)</f>
        <v>0</v>
      </c>
      <c r="K61" s="98">
        <f t="shared" si="19"/>
        <v>0</v>
      </c>
      <c r="L61" s="189">
        <f>+IF(ISNUMBER(VLOOKUP($B61,'Cental Budget - hwy'!$B$16:$AQ$90,L$1,FALSE)),VLOOKUP($B61,'Cental Budget - hwy'!$B$16:$AQ$90,L$1,FALSE),0)+IF(ISNUMBER(VLOOKUP($B61,#REF!,L$1,FALSE)),VLOOKUP($B61,#REF!,L$1,FALSE),0)</f>
        <v>0</v>
      </c>
      <c r="M61" s="98">
        <f t="shared" si="14"/>
        <v>0</v>
      </c>
      <c r="N61" s="189">
        <f>+IF(ISNUMBER(VLOOKUP($B61,'Cental Budget - hwy'!$B$16:$AQ$90,N$1,FALSE)),VLOOKUP($B61,'Cental Budget - hwy'!$B$16:$AQ$90,N$1,FALSE),0)+IF(ISNUMBER(VLOOKUP($B61,#REF!,N$1,FALSE)),VLOOKUP($B61,#REF!,N$1,FALSE),0)</f>
        <v>0</v>
      </c>
      <c r="O61" s="98">
        <f t="shared" si="5"/>
        <v>0</v>
      </c>
      <c r="P61" s="189">
        <f>+IF(ISNUMBER(VLOOKUP($B61,'Cental Budget - hwy'!$B$16:$AQ$90,P$1,FALSE)),VLOOKUP($B61,'Cental Budget - hwy'!$B$16:$AQ$90,P$1,FALSE),0)+IF(ISNUMBER(VLOOKUP($B61,#REF!,P$1,FALSE)),VLOOKUP($B61,#REF!,P$1,FALSE),0)</f>
        <v>0</v>
      </c>
      <c r="Q61" s="98">
        <f t="shared" si="6"/>
        <v>0</v>
      </c>
      <c r="R61" s="189">
        <f>+IF(ISNUMBER(VLOOKUP($B61,'Cental Budget - hwy'!$B$16:$AQ$90,R$1,FALSE)),VLOOKUP($B61,'Cental Budget - hwy'!$B$16:$AQ$90,R$1,FALSE),0)+IF(ISNUMBER(VLOOKUP($B61,#REF!,R$1,FALSE)),VLOOKUP($B61,#REF!,R$1,FALSE),0)</f>
        <v>0</v>
      </c>
      <c r="S61" s="98">
        <f t="shared" si="7"/>
        <v>0</v>
      </c>
      <c r="T61" s="189">
        <f>+IF(ISNUMBER(VLOOKUP($B61,'Cental Budget - hwy'!$B$16:$AQ$90,T$1,FALSE)),VLOOKUP($B61,'Cental Budget - hwy'!$B$16:$AQ$90,T$1,FALSE),0)+IF(ISNUMBER(VLOOKUP($B61,#REF!,T$1,FALSE)),VLOOKUP($B61,#REF!,T$1,FALSE),0)</f>
        <v>0</v>
      </c>
      <c r="U61" s="98">
        <f t="shared" si="8"/>
        <v>0</v>
      </c>
      <c r="V61" s="190">
        <f>+IF(ISNUMBER(VLOOKUP($B61,'Cental Budget - hwy'!$B$16:$AQ$90,V$1,FALSE)),VLOOKUP($B61,'Cental Budget - hwy'!$B$16:$AQ$90,V$1,FALSE),0)+IF(ISNUMBER(VLOOKUP($B61,#REF!,V$1,FALSE)),VLOOKUP($B61,#REF!,V$1,FALSE),0)</f>
        <v>0</v>
      </c>
      <c r="W61" s="190">
        <f>+IF(ISNUMBER(VLOOKUP($B61,'Cental Budget - hwy'!$B$16:$AQ$90,W$1,FALSE)),VLOOKUP($B61,'Cental Budget - hwy'!$B$16:$AQ$90,W$1,FALSE),0)+IF(ISNUMBER(VLOOKUP($B61,#REF!,W$1,FALSE)),VLOOKUP($B61,#REF!,W$1,FALSE),0)</f>
        <v>0</v>
      </c>
      <c r="X61" s="189">
        <f>+IF(ISNUMBER(VLOOKUP($B61,'Cental Budget - hwy'!$B$16:$AQ$90,X$1,FALSE)),VLOOKUP($B61,'Cental Budget - hwy'!$B$16:$AQ$90,X$1,FALSE),0)+IF(ISNUMBER(VLOOKUP($B61,#REF!,X$1,FALSE)),VLOOKUP($B61,#REF!,X$1,FALSE),0)</f>
        <v>0</v>
      </c>
      <c r="Y61" s="98">
        <f t="shared" si="9"/>
        <v>0</v>
      </c>
      <c r="Z61" s="189">
        <f>+IF(ISNUMBER(VLOOKUP($B61,'Cental Budget - hwy'!$B$16:$AQ$90,Z$1,FALSE)),VLOOKUP($B61,'Cental Budget - hwy'!$B$16:$AQ$90,Z$1,FALSE),0)+IF(ISNUMBER(VLOOKUP($B61,#REF!,Z$1,FALSE)),VLOOKUP($B61,#REF!,Z$1,FALSE),0)</f>
        <v>0</v>
      </c>
      <c r="AA61" s="98">
        <f t="shared" si="15"/>
        <v>0</v>
      </c>
      <c r="AB61" s="189">
        <f>+IF(ISNUMBER(VLOOKUP($B61,'Cental Budget - hwy'!$B$16:$AQ$90,AB$1,FALSE)),VLOOKUP($B61,'Cental Budget - hwy'!$B$16:$AQ$90,AB$1,FALSE),0)+IF(ISNUMBER(VLOOKUP($B61,#REF!,AB$1,FALSE)),VLOOKUP($B61,#REF!,AB$1,FALSE),0)</f>
        <v>0</v>
      </c>
      <c r="AC61" s="98">
        <f>+IF(ISNUMBER(VLOOKUP($B61,'Cental Budget - hwy'!$B$16:$AQ$90,AC$1,FALSE)),VLOOKUP($B61,'Cental Budget - hwy'!$B$16:$AQ$90,AC$1,FALSE),0)+IF(ISNUMBER(VLOOKUP($B61,#REF!,AC$1,FALSE)),VLOOKUP($B61,#REF!,AC$1,FALSE),0)</f>
        <v>0</v>
      </c>
      <c r="AD61" s="190">
        <f>+IF(ISNUMBER(VLOOKUP($B61,'Cental Budget - hwy'!$B$16:$AQ$90,AD$1,FALSE)),VLOOKUP($B61,'Cental Budget - hwy'!$B$16:$AQ$90,AD$1,FALSE),0)+IF(ISNUMBER(VLOOKUP($B61,#REF!,AD$1,FALSE)),VLOOKUP($B61,#REF!,AD$1,FALSE),0)</f>
        <v>0</v>
      </c>
      <c r="AE61" s="189">
        <f>+IF(ISNUMBER(VLOOKUP($B61,'Cental Budget - hwy'!$B$16:$AQ$90,AE$1,FALSE)),VLOOKUP($B61,'Cental Budget - hwy'!$B$16:$AQ$90,AE$1,FALSE),0)+IF(ISNUMBER(VLOOKUP($B61,#REF!,AE$1,FALSE)),VLOOKUP($B61,#REF!,AE$1,FALSE),0)</f>
        <v>0</v>
      </c>
      <c r="AF61" s="98">
        <f t="shared" si="11"/>
        <v>0</v>
      </c>
      <c r="AG61" s="189">
        <f>+IF(ISNUMBER(VLOOKUP($B61,'Cental Budget - hwy'!$B$16:$AQ$90,AG$1,FALSE)),VLOOKUP($B61,'Cental Budget - hwy'!$B$16:$AQ$90,AG$1,FALSE),0)+IF(ISNUMBER(VLOOKUP($B61,#REF!,AG$1,FALSE)),VLOOKUP($B61,#REF!,AG$1,FALSE),0)</f>
        <v>0</v>
      </c>
      <c r="AH61" s="98">
        <f>+IF(ISNUMBER(VLOOKUP($B61,'Cental Budget - hwy'!$B$16:$AQ$90,AH$1,FALSE)),VLOOKUP($B61,'Cental Budget - hwy'!$B$16:$AQ$90,AH$1,FALSE),0)+IF(ISNUMBER(VLOOKUP($B61,#REF!,AH$1,FALSE)),VLOOKUP($B61,#REF!,AH$1,FALSE),0)</f>
        <v>0</v>
      </c>
      <c r="AI61" s="190">
        <f>+IF(ISNUMBER(VLOOKUP($B61,'Cental Budget - hwy'!$B$16:$AQ$90,AI$1,FALSE)),VLOOKUP($B61,'Cental Budget - hwy'!$B$16:$AQ$90,AI$1,FALSE),0)+IF(ISNUMBER(VLOOKUP($B61,#REF!,AI$1,FALSE)),VLOOKUP($B61,#REF!,AI$1,FALSE),0)</f>
        <v>0</v>
      </c>
      <c r="AJ61" s="189">
        <f>+IF(ISNUMBER(VLOOKUP($B61,'Cental Budget - hwy'!$B$16:$AQ$90,AJ$1,FALSE)),VLOOKUP($B61,'Cental Budget - hwy'!$B$16:$AQ$90,AJ$1,FALSE),0)+IF(ISNUMBER(VLOOKUP($B61,#REF!,AJ$1,FALSE)),VLOOKUP($B61,#REF!,AJ$1,FALSE),0)</f>
        <v>0</v>
      </c>
      <c r="AK61" s="98">
        <f t="shared" si="12"/>
        <v>0</v>
      </c>
      <c r="AL61" s="189">
        <f>+IF(ISNUMBER(VLOOKUP($B61,'Cental Budget - hwy'!$B$16:$AQ$90,AL$1,FALSE)),VLOOKUP($B61,'Cental Budget - hwy'!$B$16:$AQ$90,AL$1,FALSE),0)+IF(ISNUMBER(VLOOKUP($B61,#REF!,AL$1,FALSE)),VLOOKUP($B61,#REF!,AL$1,FALSE),0)</f>
        <v>0</v>
      </c>
      <c r="AM61" s="98">
        <f t="shared" si="13"/>
        <v>0</v>
      </c>
      <c r="AO61" s="105"/>
      <c r="AP61" s="106"/>
      <c r="AQ61" s="106"/>
      <c r="AR61" s="106"/>
      <c r="AS61" s="106"/>
      <c r="AT61" s="107"/>
      <c r="AU61" s="81"/>
      <c r="AV61" s="81"/>
      <c r="AW61" s="81"/>
      <c r="AX61" s="81"/>
      <c r="AY61" s="81"/>
      <c r="AZ61" s="81"/>
      <c r="BA61" s="81"/>
      <c r="BB61" s="81"/>
      <c r="BC61" s="81"/>
      <c r="BD61" s="81"/>
      <c r="BE61" s="81"/>
      <c r="BF61" s="81"/>
      <c r="BG61" s="81"/>
      <c r="DS61" s="198"/>
      <c r="DT61" s="198"/>
      <c r="DU61" s="176"/>
      <c r="DV61" s="176"/>
      <c r="DW61" s="176"/>
      <c r="DX61" s="175"/>
    </row>
    <row r="62" spans="1:128" ht="13.5" customHeight="1" thickTop="1" thickBot="1">
      <c r="C62" s="234" t="s">
        <v>132</v>
      </c>
      <c r="D62" s="225">
        <f>+D16-D35</f>
        <v>332957449.62999964</v>
      </c>
      <c r="E62" s="226">
        <f t="shared" si="16"/>
        <v>15.494320332728357</v>
      </c>
      <c r="F62" s="225">
        <f>+F16-F35</f>
        <v>475471874.24999988</v>
      </c>
      <c r="G62" s="226">
        <f t="shared" si="17"/>
        <v>17.738178483491883</v>
      </c>
      <c r="H62" s="225">
        <f>+H16-H35</f>
        <v>361707996.93999982</v>
      </c>
      <c r="I62" s="226">
        <f t="shared" si="18"/>
        <v>11.722452584262374</v>
      </c>
      <c r="J62" s="225">
        <f>+J16-J35</f>
        <v>309494685.73550022</v>
      </c>
      <c r="K62" s="226">
        <f t="shared" si="19"/>
        <v>10.38224373483731</v>
      </c>
      <c r="L62" s="225">
        <f>+L16-L35</f>
        <v>340706279.97000039</v>
      </c>
      <c r="M62" s="226">
        <f t="shared" si="14"/>
        <v>10.976362112435579</v>
      </c>
      <c r="N62" s="225">
        <f>+N16-N35</f>
        <v>294282264.69000018</v>
      </c>
      <c r="O62" s="226">
        <f t="shared" si="5"/>
        <v>9.0996371270872043</v>
      </c>
      <c r="P62" s="225">
        <f>+P16-P35</f>
        <v>301886884.42999983</v>
      </c>
      <c r="Q62" s="226">
        <f t="shared" si="6"/>
        <v>9.5867540308034229</v>
      </c>
      <c r="R62" s="225">
        <f>+R16-R35</f>
        <v>354647144.69708228</v>
      </c>
      <c r="S62" s="226">
        <f t="shared" si="7"/>
        <v>10.63124584826808</v>
      </c>
      <c r="T62" s="225">
        <f>+T16-T35</f>
        <v>428674728.58717036</v>
      </c>
      <c r="U62" s="226">
        <f t="shared" si="8"/>
        <v>12.191570001010513</v>
      </c>
      <c r="V62" s="236"/>
      <c r="W62" s="237"/>
      <c r="X62" s="225">
        <f>+X16-X35</f>
        <v>-869534872.1099999</v>
      </c>
      <c r="Y62" s="226">
        <f t="shared" si="9"/>
        <v>-24.729694928804488</v>
      </c>
      <c r="Z62" s="225">
        <f>+Z16-Z35</f>
        <v>0</v>
      </c>
      <c r="AA62" s="226">
        <f t="shared" si="15"/>
        <v>0</v>
      </c>
      <c r="AB62" s="225">
        <f>+AB16-AB35</f>
        <v>-718545619.85404158</v>
      </c>
      <c r="AC62" s="226">
        <f>AB62/AB$11*100</f>
        <v>-19.357335613948838</v>
      </c>
      <c r="AD62" s="235"/>
      <c r="AE62" s="225">
        <f>+AE16-AE35</f>
        <v>-977926941.85293674</v>
      </c>
      <c r="AF62" s="226">
        <f t="shared" si="11"/>
        <v>-26.344966132025405</v>
      </c>
      <c r="AG62" s="232">
        <v>14311966.955734968</v>
      </c>
      <c r="AH62" s="226">
        <f>AG62/AG$11*100</f>
        <v>0.36416066467983688</v>
      </c>
      <c r="AI62" s="235"/>
      <c r="AJ62" s="225" t="e">
        <f>+AJ16-AJ35</f>
        <v>#REF!</v>
      </c>
      <c r="AK62" s="226" t="e">
        <f t="shared" si="12"/>
        <v>#REF!</v>
      </c>
      <c r="AL62" s="225" t="e">
        <f>+AL16-AL35</f>
        <v>#REF!</v>
      </c>
      <c r="AM62" s="226" t="e">
        <f t="shared" si="13"/>
        <v>#REF!</v>
      </c>
      <c r="AO62" s="105"/>
      <c r="AP62" s="106"/>
      <c r="AQ62" s="106"/>
      <c r="AR62" s="106"/>
      <c r="AS62" s="106"/>
      <c r="AT62" s="107"/>
      <c r="AU62" s="81"/>
      <c r="AV62" s="81"/>
      <c r="AW62" s="81"/>
      <c r="AX62" s="81"/>
      <c r="AY62" s="81"/>
      <c r="AZ62" s="81"/>
      <c r="BA62" s="81"/>
      <c r="BB62" s="81"/>
      <c r="BC62" s="81"/>
      <c r="BD62" s="81"/>
      <c r="BE62" s="81"/>
      <c r="BF62" s="81"/>
      <c r="BG62" s="81"/>
      <c r="DS62" s="198"/>
      <c r="DT62" s="198"/>
      <c r="DU62" s="176"/>
      <c r="DV62" s="176"/>
      <c r="DW62" s="176"/>
      <c r="DX62" s="175"/>
    </row>
    <row r="63" spans="1:128" ht="13.5" customHeight="1" thickTop="1" thickBot="1">
      <c r="C63" s="234" t="s">
        <v>133</v>
      </c>
      <c r="D63" s="225">
        <f>+D62+D43</f>
        <v>356356443.68999964</v>
      </c>
      <c r="E63" s="226">
        <f t="shared" si="16"/>
        <v>16.583202740471854</v>
      </c>
      <c r="F63" s="225">
        <f>+F62+F43</f>
        <v>502570803.7299999</v>
      </c>
      <c r="G63" s="226">
        <f t="shared" si="17"/>
        <v>18.749143955605295</v>
      </c>
      <c r="H63" s="225">
        <f>+H62+H43</f>
        <v>384239990.77999979</v>
      </c>
      <c r="I63" s="226">
        <f t="shared" si="18"/>
        <v>12.452683133912361</v>
      </c>
      <c r="J63" s="225">
        <f>+J62+J43</f>
        <v>334006714.3755002</v>
      </c>
      <c r="K63" s="226">
        <f t="shared" si="19"/>
        <v>11.204519100150963</v>
      </c>
      <c r="L63" s="225">
        <f>+L62+L43</f>
        <v>370962558.44000041</v>
      </c>
      <c r="M63" s="226">
        <f t="shared" si="14"/>
        <v>11.951113351804137</v>
      </c>
      <c r="N63" s="225">
        <f>+N62+N43</f>
        <v>339374614.72000015</v>
      </c>
      <c r="O63" s="226">
        <f t="shared" si="5"/>
        <v>10.493958401978979</v>
      </c>
      <c r="P63" s="225">
        <f>+P62+P43</f>
        <v>358746738.96999985</v>
      </c>
      <c r="Q63" s="226">
        <f t="shared" si="6"/>
        <v>11.392401999682434</v>
      </c>
      <c r="R63" s="225">
        <f>+R62+R43</f>
        <v>422074875.48708224</v>
      </c>
      <c r="S63" s="226">
        <f t="shared" si="7"/>
        <v>12.652524727114281</v>
      </c>
      <c r="T63" s="225">
        <f>+T62+T43</f>
        <v>501990851.70717037</v>
      </c>
      <c r="U63" s="226">
        <f t="shared" si="8"/>
        <v>14.276690927467047</v>
      </c>
      <c r="V63" s="236"/>
      <c r="W63" s="237"/>
      <c r="X63" s="225">
        <f>+X62+X43</f>
        <v>-796218748.98999989</v>
      </c>
      <c r="Y63" s="226">
        <f t="shared" si="9"/>
        <v>-22.644574002347952</v>
      </c>
      <c r="Z63" s="225">
        <f>+Z62+Z43</f>
        <v>0</v>
      </c>
      <c r="AA63" s="226">
        <f t="shared" si="15"/>
        <v>0</v>
      </c>
      <c r="AB63" s="225">
        <f>+AB62-AB43</f>
        <v>-783754816.94404161</v>
      </c>
      <c r="AC63" s="226">
        <f>AB63/AB$11*100</f>
        <v>-21.114045665905834</v>
      </c>
      <c r="AD63" s="235"/>
      <c r="AE63" s="225">
        <f>+AE62+AE43</f>
        <v>-904676941.85293674</v>
      </c>
      <c r="AF63" s="226">
        <f t="shared" si="11"/>
        <v>-24.371640020859665</v>
      </c>
      <c r="AG63" s="232">
        <v>91711966.955734968</v>
      </c>
      <c r="AH63" s="226">
        <f>AG63/AG$11*100</f>
        <v>2.3335639992036712</v>
      </c>
      <c r="AI63" s="235"/>
      <c r="AJ63" s="225" t="e">
        <f>+AJ62+AJ43</f>
        <v>#REF!</v>
      </c>
      <c r="AK63" s="226" t="e">
        <f t="shared" si="12"/>
        <v>#REF!</v>
      </c>
      <c r="AL63" s="225" t="e">
        <f>+AL62+AL43</f>
        <v>#REF!</v>
      </c>
      <c r="AM63" s="226" t="e">
        <f t="shared" si="13"/>
        <v>#REF!</v>
      </c>
      <c r="AO63" s="105"/>
      <c r="AP63" s="106"/>
      <c r="AQ63" s="106"/>
      <c r="AR63" s="106"/>
      <c r="AS63" s="106"/>
      <c r="AT63" s="107"/>
      <c r="AU63" s="81"/>
      <c r="AV63" s="81"/>
      <c r="AW63" s="81"/>
      <c r="AX63" s="81"/>
      <c r="AY63" s="81"/>
      <c r="AZ63" s="81"/>
      <c r="BA63" s="81"/>
      <c r="BB63" s="81"/>
      <c r="BC63" s="81"/>
      <c r="BD63" s="81"/>
      <c r="BE63" s="81"/>
      <c r="BF63" s="81"/>
      <c r="BG63" s="81"/>
      <c r="DS63" s="198"/>
      <c r="DT63" s="198"/>
      <c r="DU63" s="176"/>
      <c r="DV63" s="176"/>
      <c r="DW63" s="176"/>
      <c r="DX63" s="175"/>
    </row>
    <row r="64" spans="1:128" ht="13.5" customHeight="1" thickTop="1" thickBot="1">
      <c r="C64" s="234" t="s">
        <v>0</v>
      </c>
      <c r="D64" s="225">
        <f>+SUM(D65:D67)</f>
        <v>104045865.95999999</v>
      </c>
      <c r="E64" s="226">
        <f t="shared" si="16"/>
        <v>4.841819812927544</v>
      </c>
      <c r="F64" s="225">
        <f>+SUM(F65:F67)</f>
        <v>160963531.41999999</v>
      </c>
      <c r="G64" s="226">
        <f t="shared" si="17"/>
        <v>6.0049815862712181</v>
      </c>
      <c r="H64" s="225">
        <f>+SUM(H65:H67)</f>
        <v>122913293.86</v>
      </c>
      <c r="I64" s="226">
        <f t="shared" si="18"/>
        <v>3.9834487250453723</v>
      </c>
      <c r="J64" s="225">
        <f>+SUM(J65:J67)</f>
        <v>151220956.42000002</v>
      </c>
      <c r="K64" s="226">
        <f t="shared" si="19"/>
        <v>5.0728264481717549</v>
      </c>
      <c r="L64" s="225">
        <f>+SUM(L65:L67)</f>
        <v>186013130.75999999</v>
      </c>
      <c r="M64" s="226">
        <f t="shared" si="14"/>
        <v>5.9926910682989689</v>
      </c>
      <c r="N64" s="225">
        <f>+SUM(N65:N67)</f>
        <v>132767747.19999999</v>
      </c>
      <c r="O64" s="226">
        <f t="shared" si="5"/>
        <v>4.1053725170068018</v>
      </c>
      <c r="P64" s="225">
        <f>+SUM(P65:P67)</f>
        <v>118134757.73</v>
      </c>
      <c r="Q64" s="226">
        <f t="shared" si="6"/>
        <v>3.7515007218164498</v>
      </c>
      <c r="R64" s="225">
        <f>+SUM(R65:R67)</f>
        <v>241777428.00999996</v>
      </c>
      <c r="S64" s="226">
        <f t="shared" si="7"/>
        <v>7.2477540455928944</v>
      </c>
      <c r="T64" s="225">
        <f>+SUM(T65:T67)</f>
        <v>171426905.49000001</v>
      </c>
      <c r="U64" s="226">
        <f t="shared" si="8"/>
        <v>4.875405474043375</v>
      </c>
      <c r="V64" s="236"/>
      <c r="W64" s="237"/>
      <c r="X64" s="225">
        <f>+SUM(X65:X67)</f>
        <v>171426905.49000001</v>
      </c>
      <c r="Y64" s="226">
        <f t="shared" si="9"/>
        <v>4.875405474043375</v>
      </c>
      <c r="Z64" s="225">
        <f>+SUM(Z65:Z67)</f>
        <v>0</v>
      </c>
      <c r="AA64" s="226">
        <f t="shared" si="15"/>
        <v>0</v>
      </c>
      <c r="AB64" s="225">
        <f>+SUM(AB65:AB67)</f>
        <v>433269759.02999997</v>
      </c>
      <c r="AC64" s="226">
        <f>AB64/AB$11*100</f>
        <v>11.67211643238754</v>
      </c>
      <c r="AD64" s="235"/>
      <c r="AE64" s="225">
        <f>+SUM(AE65:AE67)</f>
        <v>452860948.83999997</v>
      </c>
      <c r="AF64" s="226">
        <f t="shared" si="11"/>
        <v>12.199895359361973</v>
      </c>
      <c r="AG64" s="232">
        <v>385100000</v>
      </c>
      <c r="AH64" s="226">
        <f>AG64/AG$11*100</f>
        <v>9.7986721463194897</v>
      </c>
      <c r="AI64" s="235"/>
      <c r="AJ64" s="225">
        <f>+SUM(AJ65:AJ67)</f>
        <v>415003981.30000001</v>
      </c>
      <c r="AK64" s="226">
        <f t="shared" si="12"/>
        <v>10.559563625489496</v>
      </c>
      <c r="AL64" s="225">
        <f>+SUM(AL65:AL67)</f>
        <v>183837481.49000001</v>
      </c>
      <c r="AM64" s="226">
        <f t="shared" si="13"/>
        <v>4.4095498723705839</v>
      </c>
      <c r="AO64" s="105"/>
      <c r="AP64" s="106"/>
      <c r="AQ64" s="106"/>
      <c r="AR64" s="106"/>
      <c r="AS64" s="106"/>
      <c r="AT64" s="107"/>
      <c r="AU64" s="81"/>
      <c r="AV64" s="81"/>
      <c r="AW64" s="81"/>
      <c r="AX64" s="81"/>
      <c r="AY64" s="81"/>
      <c r="AZ64" s="81"/>
      <c r="BA64" s="81"/>
      <c r="BB64" s="81"/>
      <c r="BC64" s="81"/>
      <c r="BD64" s="81"/>
      <c r="BE64" s="81"/>
      <c r="BF64" s="81"/>
      <c r="BG64" s="81"/>
      <c r="DS64" s="198"/>
      <c r="DT64" s="198"/>
      <c r="DU64" s="176"/>
      <c r="DV64" s="176"/>
      <c r="DW64" s="176"/>
      <c r="DX64" s="175"/>
    </row>
    <row r="65" spans="2:128" ht="13.5" customHeight="1" thickTop="1">
      <c r="B65" s="80">
        <v>4611</v>
      </c>
      <c r="C65" s="99" t="s">
        <v>135</v>
      </c>
      <c r="D65" s="193">
        <f>+IF(ISNUMBER(VLOOKUP($B65,'Cental Budget - hwy'!$B$16:$AQ$90,D$1,FALSE)),VLOOKUP($B65,'Cental Budget - hwy'!$B$16:$AQ$90,D$1,FALSE),0)+IF(ISNUMBER(VLOOKUP($B65,#REF!,D$1,FALSE)),VLOOKUP($B65,#REF!,D$1,FALSE),0)</f>
        <v>34109764.159999996</v>
      </c>
      <c r="E65" s="101">
        <f t="shared" si="16"/>
        <v>1.5873127721159661</v>
      </c>
      <c r="F65" s="193">
        <f>+IF(ISNUMBER(VLOOKUP($B65,'Cental Budget - hwy'!$B$16:$AQ$90,F$1,FALSE)),VLOOKUP($B65,'Cental Budget - hwy'!$B$16:$AQ$90,F$1,FALSE),0)+IF(ISNUMBER(VLOOKUP($B65,#REF!,F$1,FALSE)),VLOOKUP($B65,#REF!,F$1,FALSE),0)</f>
        <v>23247139.440000001</v>
      </c>
      <c r="G65" s="101">
        <f t="shared" si="17"/>
        <v>0.86726877224398446</v>
      </c>
      <c r="H65" s="193">
        <f>+IF(ISNUMBER(VLOOKUP($B65,'Cental Budget - hwy'!$B$16:$AQ$90,H$1,FALSE)),VLOOKUP($B65,'Cental Budget - hwy'!$B$16:$AQ$90,H$1,FALSE),0)+IF(ISNUMBER(VLOOKUP($B65,#REF!,H$1,FALSE)),VLOOKUP($B65,#REF!,H$1,FALSE),0)</f>
        <v>48375025.880000003</v>
      </c>
      <c r="I65" s="101">
        <f t="shared" si="18"/>
        <v>1.5677672374902776</v>
      </c>
      <c r="J65" s="193">
        <f>+IF(ISNUMBER(VLOOKUP($B65,'Cental Budget - hwy'!$B$16:$AQ$90,J$1,FALSE)),VLOOKUP($B65,'Cental Budget - hwy'!$B$16:$AQ$90,J$1,FALSE),0)+IF(ISNUMBER(VLOOKUP($B65,#REF!,J$1,FALSE)),VLOOKUP($B65,#REF!,J$1,FALSE),0)</f>
        <v>68898727.290000007</v>
      </c>
      <c r="K65" s="101">
        <f t="shared" si="19"/>
        <v>2.3112622371687355</v>
      </c>
      <c r="L65" s="193">
        <f>+IF(ISNUMBER(VLOOKUP($B65,'Cental Budget - hwy'!$B$16:$AQ$90,L$1,FALSE)),VLOOKUP($B65,'Cental Budget - hwy'!$B$16:$AQ$90,L$1,FALSE),0)+IF(ISNUMBER(VLOOKUP($B65,#REF!,L$1,FALSE)),VLOOKUP($B65,#REF!,L$1,FALSE),0)</f>
        <v>56807566.530000001</v>
      </c>
      <c r="M65" s="101">
        <f t="shared" si="14"/>
        <v>1.8301406742912374</v>
      </c>
      <c r="N65" s="193">
        <f>+IF(ISNUMBER(VLOOKUP($B65,'Cental Budget - hwy'!$B$16:$AQ$90,N$1,FALSE)),VLOOKUP($B65,'Cental Budget - hwy'!$B$16:$AQ$90,N$1,FALSE),0)+IF(ISNUMBER(VLOOKUP($B65,#REF!,N$1,FALSE)),VLOOKUP($B65,#REF!,N$1,FALSE),0)</f>
        <v>31950887.579999998</v>
      </c>
      <c r="O65" s="101">
        <f t="shared" si="5"/>
        <v>0.98796807606679038</v>
      </c>
      <c r="P65" s="193">
        <f>+IF(ISNUMBER(VLOOKUP($B65,'Cental Budget - hwy'!$B$16:$AQ$90,P$1,FALSE)),VLOOKUP($B65,'Cental Budget - hwy'!$B$16:$AQ$90,P$1,FALSE),0)+IF(ISNUMBER(VLOOKUP($B65,#REF!,P$1,FALSE)),VLOOKUP($B65,#REF!,P$1,FALSE),0)</f>
        <v>60636105.950000003</v>
      </c>
      <c r="Q65" s="101">
        <f t="shared" si="6"/>
        <v>1.9255670355668466</v>
      </c>
      <c r="R65" s="193">
        <f>+IF(ISNUMBER(VLOOKUP($B65,'Cental Budget - hwy'!$B$16:$AQ$90,R$1,FALSE)),VLOOKUP($B65,'Cental Budget - hwy'!$B$16:$AQ$90,R$1,FALSE),0)+IF(ISNUMBER(VLOOKUP($B65,#REF!,R$1,FALSE)),VLOOKUP($B65,#REF!,R$1,FALSE),0)</f>
        <v>112695950.91</v>
      </c>
      <c r="S65" s="101">
        <f t="shared" si="7"/>
        <v>3.3782828316632929</v>
      </c>
      <c r="T65" s="193">
        <f>+IF(ISNUMBER(VLOOKUP($B65,'Cental Budget - hwy'!$B$16:$AQ$90,T$1,FALSE)),VLOOKUP($B65,'Cental Budget - hwy'!$B$16:$AQ$90,T$1,FALSE),0)+IF(ISNUMBER(VLOOKUP($B65,#REF!,T$1,FALSE)),VLOOKUP($B65,#REF!,T$1,FALSE),0)</f>
        <v>30008345.27</v>
      </c>
      <c r="U65" s="101">
        <f t="shared" si="8"/>
        <v>0.8534415900360286</v>
      </c>
      <c r="V65" s="192">
        <f>+IF(ISNUMBER(VLOOKUP($B65,'Cental Budget - hwy'!$B$16:$AQ$90,V$1,FALSE)),VLOOKUP($B65,'Cental Budget - hwy'!$B$16:$AQ$90,V$1,FALSE),0)+IF(ISNUMBER(VLOOKUP($B65,#REF!,V$1,FALSE)),VLOOKUP($B65,#REF!,V$1,FALSE),0)</f>
        <v>0</v>
      </c>
      <c r="W65" s="192">
        <f>+IF(ISNUMBER(VLOOKUP($B65,'Cental Budget - hwy'!$B$16:$AQ$90,W$1,FALSE)),VLOOKUP($B65,'Cental Budget - hwy'!$B$16:$AQ$90,W$1,FALSE),0)+IF(ISNUMBER(VLOOKUP($B65,#REF!,W$1,FALSE)),VLOOKUP($B65,#REF!,W$1,FALSE),0)</f>
        <v>0</v>
      </c>
      <c r="X65" s="193">
        <f>+IF(ISNUMBER(VLOOKUP($B65,'Cental Budget - hwy'!$B$16:$AQ$90,X$1,FALSE)),VLOOKUP($B65,'Cental Budget - hwy'!$B$16:$AQ$90,X$1,FALSE),0)+IF(ISNUMBER(VLOOKUP($B65,#REF!,X$1,FALSE)),VLOOKUP($B65,#REF!,X$1,FALSE),0)</f>
        <v>30008345.27</v>
      </c>
      <c r="Y65" s="101">
        <f t="shared" si="9"/>
        <v>0.8534415900360286</v>
      </c>
      <c r="Z65" s="193">
        <f>+IF(ISNUMBER(VLOOKUP($B65,'Cental Budget - hwy'!$B$16:$AQ$90,Z$1,FALSE)),VLOOKUP($B65,'Cental Budget - hwy'!$B$16:$AQ$90,Z$1,FALSE),0)+IF(ISNUMBER(VLOOKUP($B65,#REF!,Z$1,FALSE)),VLOOKUP($B65,#REF!,Z$1,FALSE),0)</f>
        <v>0</v>
      </c>
      <c r="AA65" s="101">
        <f t="shared" si="15"/>
        <v>0</v>
      </c>
      <c r="AB65" s="193">
        <f>+IF(ISNUMBER(VLOOKUP($B65,'Cental Budget - hwy'!$B$16:$AQ$90,AB$1,FALSE)),VLOOKUP($B65,'Cental Budget - hwy'!$B$16:$AQ$90,AB$1,FALSE),0)+IF(ISNUMBER(VLOOKUP($B65,#REF!,AB$1,FALSE)),VLOOKUP($B65,#REF!,AB$1,FALSE),0)</f>
        <v>33600000</v>
      </c>
      <c r="AC65" s="101">
        <f>+IF(ISNUMBER(VLOOKUP($B65,'Cental Budget - hwy'!$B$16:$AQ$90,AC$1,FALSE)),VLOOKUP($B65,'Cental Budget - hwy'!$B$16:$AQ$90,AC$1,FALSE),0)+IF(ISNUMBER(VLOOKUP($B65,#REF!,AC$1,FALSE)),VLOOKUP($B65,#REF!,AC$1,FALSE),0)</f>
        <v>0.90517074860298807</v>
      </c>
      <c r="AD65" s="194">
        <f>+IF(ISNUMBER(VLOOKUP($B65,'Cental Budget - hwy'!$B$16:$AQ$90,AD$1,FALSE)),VLOOKUP($B65,'Cental Budget - hwy'!$B$16:$AQ$90,AD$1,FALSE),0)+IF(ISNUMBER(VLOOKUP($B65,#REF!,AD$1,FALSE)),VLOOKUP($B65,#REF!,AD$1,FALSE),0)</f>
        <v>0</v>
      </c>
      <c r="AE65" s="193">
        <f>+IF(ISNUMBER(VLOOKUP($B65,'Cental Budget - hwy'!$B$16:$AQ$90,AE$1,FALSE)),VLOOKUP($B65,'Cental Budget - hwy'!$B$16:$AQ$90,AE$1,FALSE),0)+IF(ISNUMBER(VLOOKUP($B65,#REF!,AE$1,FALSE)),VLOOKUP($B65,#REF!,AE$1,FALSE),0)</f>
        <v>81000382.63000001</v>
      </c>
      <c r="AF65" s="101">
        <f t="shared" si="11"/>
        <v>2.1821183625692138</v>
      </c>
      <c r="AG65" s="193">
        <f>+IF(ISNUMBER(VLOOKUP($B65,'Cental Budget - hwy'!$B$16:$AQ$90,AG$1,FALSE)),VLOOKUP($B65,'Cental Budget - hwy'!$B$16:$AQ$90,AG$1,FALSE),0)+IF(ISNUMBER(VLOOKUP($B65,#REF!,AG$1,FALSE)),VLOOKUP($B65,#REF!,AG$1,FALSE),0)</f>
        <v>28500000</v>
      </c>
      <c r="AH65" s="101">
        <f>+IF(ISNUMBER(VLOOKUP($B65,'Cental Budget - hwy'!$B$16:$AQ$90,AH$1,FALSE)),VLOOKUP($B65,'Cental Budget - hwy'!$B$16:$AQ$90,AH$1,FALSE),0)+IF(ISNUMBER(VLOOKUP($B65,#REF!,AH$1,FALSE)),VLOOKUP($B65,#REF!,AH$1,FALSE),0)</f>
        <v>0.72516789449521024</v>
      </c>
      <c r="AI65" s="194">
        <f>+IF(ISNUMBER(VLOOKUP($B65,'Cental Budget - hwy'!$B$16:$AQ$90,AI$1,FALSE)),VLOOKUP($B65,'Cental Budget - hwy'!$B$16:$AQ$90,AI$1,FALSE),0)+IF(ISNUMBER(VLOOKUP($B65,#REF!,AI$1,FALSE)),VLOOKUP($B65,#REF!,AI$1,FALSE),0)</f>
        <v>0</v>
      </c>
      <c r="AJ65" s="193">
        <f>+IF(ISNUMBER(VLOOKUP($B65,'Cental Budget - hwy'!$B$16:$AQ$90,AJ$1,FALSE)),VLOOKUP($B65,'Cental Budget - hwy'!$B$16:$AQ$90,AJ$1,FALSE),0)+IF(ISNUMBER(VLOOKUP($B65,#REF!,AJ$1,FALSE)),VLOOKUP($B65,#REF!,AJ$1,FALSE),0)</f>
        <v>63638748.950000003</v>
      </c>
      <c r="AK65" s="101">
        <f t="shared" si="12"/>
        <v>1.6192553538379217</v>
      </c>
      <c r="AL65" s="193">
        <f>+IF(ISNUMBER(VLOOKUP($B65,'Cental Budget - hwy'!$B$16:$AQ$90,AL$1,FALSE)),VLOOKUP($B65,'Cental Budget - hwy'!$B$16:$AQ$90,AL$1,FALSE),0)+IF(ISNUMBER(VLOOKUP($B65,#REF!,AL$1,FALSE)),VLOOKUP($B65,#REF!,AL$1,FALSE),0)</f>
        <v>45902322.950000003</v>
      </c>
      <c r="AM65" s="101">
        <f t="shared" si="13"/>
        <v>1.1010191211561826</v>
      </c>
      <c r="AO65" s="105"/>
      <c r="AP65" s="106"/>
      <c r="AQ65" s="106"/>
      <c r="AR65" s="106"/>
      <c r="AS65" s="106"/>
      <c r="AT65" s="107"/>
      <c r="AU65" s="81"/>
      <c r="AV65" s="81"/>
      <c r="AW65" s="81"/>
      <c r="AX65" s="81"/>
      <c r="AY65" s="81"/>
      <c r="AZ65" s="81"/>
      <c r="BA65" s="81"/>
      <c r="BB65" s="81"/>
      <c r="BC65" s="81"/>
      <c r="BD65" s="81"/>
      <c r="BE65" s="81"/>
      <c r="BF65" s="81"/>
      <c r="BG65" s="81"/>
      <c r="DS65" s="198"/>
      <c r="DT65" s="198"/>
      <c r="DU65" s="176"/>
      <c r="DV65" s="176"/>
      <c r="DW65" s="176"/>
      <c r="DX65" s="175"/>
    </row>
    <row r="66" spans="2:128" ht="13.5" customHeight="1">
      <c r="B66" s="80">
        <v>4612</v>
      </c>
      <c r="C66" s="99" t="s">
        <v>137</v>
      </c>
      <c r="D66" s="193">
        <f>+IF(ISNUMBER(VLOOKUP($B66,'Cental Budget - hwy'!$B$16:$AQ$90,D$1,FALSE)),VLOOKUP($B66,'Cental Budget - hwy'!$B$16:$AQ$90,D$1,FALSE),0)+IF(ISNUMBER(VLOOKUP($B66,#REF!,D$1,FALSE)),VLOOKUP($B66,#REF!,D$1,FALSE),0)</f>
        <v>14260035.939999999</v>
      </c>
      <c r="E66" s="101">
        <f t="shared" si="16"/>
        <v>0.66359700032574798</v>
      </c>
      <c r="F66" s="193">
        <f>+IF(ISNUMBER(VLOOKUP($B66,'Cental Budget - hwy'!$B$16:$AQ$90,F$1,FALSE)),VLOOKUP($B66,'Cental Budget - hwy'!$B$16:$AQ$90,F$1,FALSE),0)+IF(ISNUMBER(VLOOKUP($B66,#REF!,F$1,FALSE)),VLOOKUP($B66,#REF!,F$1,FALSE),0)</f>
        <v>84151518.439999998</v>
      </c>
      <c r="G66" s="101">
        <f t="shared" si="17"/>
        <v>3.1393963230740534</v>
      </c>
      <c r="H66" s="193">
        <f>+IF(ISNUMBER(VLOOKUP($B66,'Cental Budget - hwy'!$B$16:$AQ$90,H$1,FALSE)),VLOOKUP($B66,'Cental Budget - hwy'!$B$16:$AQ$90,H$1,FALSE),0)+IF(ISNUMBER(VLOOKUP($B66,#REF!,H$1,FALSE)),VLOOKUP($B66,#REF!,H$1,FALSE),0)</f>
        <v>16762329.57</v>
      </c>
      <c r="I66" s="101">
        <f t="shared" si="18"/>
        <v>0.5432437636116153</v>
      </c>
      <c r="J66" s="193">
        <f>+IF(ISNUMBER(VLOOKUP($B66,'Cental Budget - hwy'!$B$16:$AQ$90,J$1,FALSE)),VLOOKUP($B66,'Cental Budget - hwy'!$B$16:$AQ$90,J$1,FALSE),0)+IF(ISNUMBER(VLOOKUP($B66,#REF!,J$1,FALSE)),VLOOKUP($B66,#REF!,J$1,FALSE),0)</f>
        <v>25402765.82</v>
      </c>
      <c r="K66" s="101">
        <f t="shared" si="19"/>
        <v>0.8521558477021135</v>
      </c>
      <c r="L66" s="193">
        <f>+IF(ISNUMBER(VLOOKUP($B66,'Cental Budget - hwy'!$B$16:$AQ$90,L$1,FALSE)),VLOOKUP($B66,'Cental Budget - hwy'!$B$16:$AQ$90,L$1,FALSE),0)+IF(ISNUMBER(VLOOKUP($B66,#REF!,L$1,FALSE)),VLOOKUP($B66,#REF!,L$1,FALSE),0)</f>
        <v>45342776.32</v>
      </c>
      <c r="M66" s="101">
        <f t="shared" si="14"/>
        <v>1.4607853195876288</v>
      </c>
      <c r="N66" s="193">
        <f>+IF(ISNUMBER(VLOOKUP($B66,'Cental Budget - hwy'!$B$16:$AQ$90,N$1,FALSE)),VLOOKUP($B66,'Cental Budget - hwy'!$B$16:$AQ$90,N$1,FALSE),0)+IF(ISNUMBER(VLOOKUP($B66,#REF!,N$1,FALSE)),VLOOKUP($B66,#REF!,N$1,FALSE),0)</f>
        <v>59510365.689999998</v>
      </c>
      <c r="O66" s="101">
        <f t="shared" si="5"/>
        <v>1.8401473620902906</v>
      </c>
      <c r="P66" s="193">
        <f>+IF(ISNUMBER(VLOOKUP($B66,'Cental Budget - hwy'!$B$16:$AQ$90,P$1,FALSE)),VLOOKUP($B66,'Cental Budget - hwy'!$B$16:$AQ$90,P$1,FALSE),0)+IF(ISNUMBER(VLOOKUP($B66,#REF!,P$1,FALSE)),VLOOKUP($B66,#REF!,P$1,FALSE),0)</f>
        <v>54874811.390000001</v>
      </c>
      <c r="Q66" s="101">
        <f t="shared" si="6"/>
        <v>1.7426107141949827</v>
      </c>
      <c r="R66" s="193">
        <f>+IF(ISNUMBER(VLOOKUP($B66,'Cental Budget - hwy'!$B$16:$AQ$90,R$1,FALSE)),VLOOKUP($B66,'Cental Budget - hwy'!$B$16:$AQ$90,R$1,FALSE),0)+IF(ISNUMBER(VLOOKUP($B66,#REF!,R$1,FALSE)),VLOOKUP($B66,#REF!,R$1,FALSE),0)</f>
        <v>68802905.489999995</v>
      </c>
      <c r="S66" s="101">
        <f t="shared" si="7"/>
        <v>2.0625024458158605</v>
      </c>
      <c r="T66" s="193">
        <f>+IF(ISNUMBER(VLOOKUP($B66,'Cental Budget - hwy'!$B$16:$AQ$90,T$1,FALSE)),VLOOKUP($B66,'Cental Budget - hwy'!$B$16:$AQ$90,T$1,FALSE),0)+IF(ISNUMBER(VLOOKUP($B66,#REF!,T$1,FALSE)),VLOOKUP($B66,#REF!,T$1,FALSE),0)</f>
        <v>108080400.25</v>
      </c>
      <c r="U66" s="101">
        <f t="shared" si="8"/>
        <v>3.073821892248922</v>
      </c>
      <c r="V66" s="192">
        <f>+IF(ISNUMBER(VLOOKUP($B66,'Cental Budget - hwy'!$B$16:$AQ$90,V$1,FALSE)),VLOOKUP($B66,'Cental Budget - hwy'!$B$16:$AQ$90,V$1,FALSE),0)+IF(ISNUMBER(VLOOKUP($B66,#REF!,V$1,FALSE)),VLOOKUP($B66,#REF!,V$1,FALSE),0)</f>
        <v>0</v>
      </c>
      <c r="W66" s="192">
        <f>+IF(ISNUMBER(VLOOKUP($B66,'Cental Budget - hwy'!$B$16:$AQ$90,W$1,FALSE)),VLOOKUP($B66,'Cental Budget - hwy'!$B$16:$AQ$90,W$1,FALSE),0)+IF(ISNUMBER(VLOOKUP($B66,#REF!,W$1,FALSE)),VLOOKUP($B66,#REF!,W$1,FALSE),0)</f>
        <v>0</v>
      </c>
      <c r="X66" s="193">
        <f>+IF(ISNUMBER(VLOOKUP($B66,'Cental Budget - hwy'!$B$16:$AQ$90,X$1,FALSE)),VLOOKUP($B66,'Cental Budget - hwy'!$B$16:$AQ$90,X$1,FALSE),0)+IF(ISNUMBER(VLOOKUP($B66,#REF!,X$1,FALSE)),VLOOKUP($B66,#REF!,X$1,FALSE),0)</f>
        <v>108080400.25</v>
      </c>
      <c r="Y66" s="101">
        <f t="shared" si="9"/>
        <v>3.073821892248922</v>
      </c>
      <c r="Z66" s="193">
        <f>+IF(ISNUMBER(VLOOKUP($B66,'Cental Budget - hwy'!$B$16:$AQ$90,Z$1,FALSE)),VLOOKUP($B66,'Cental Budget - hwy'!$B$16:$AQ$90,Z$1,FALSE),0)+IF(ISNUMBER(VLOOKUP($B66,#REF!,Z$1,FALSE)),VLOOKUP($B66,#REF!,Z$1,FALSE),0)</f>
        <v>0</v>
      </c>
      <c r="AA66" s="101">
        <f t="shared" si="15"/>
        <v>0</v>
      </c>
      <c r="AB66" s="193">
        <f>+IF(ISNUMBER(VLOOKUP($B66,'Cental Budget - hwy'!$B$16:$AQ$90,AB$1,FALSE)),VLOOKUP($B66,'Cental Budget - hwy'!$B$16:$AQ$90,AB$1,FALSE),0)+IF(ISNUMBER(VLOOKUP($B66,#REF!,AB$1,FALSE)),VLOOKUP($B66,#REF!,AB$1,FALSE),0)</f>
        <v>367769759.02999997</v>
      </c>
      <c r="AC66" s="101">
        <f>+IF(ISNUMBER(VLOOKUP($B66,'Cental Budget - hwy'!$B$16:$AQ$90,AC$1,FALSE)),VLOOKUP($B66,'Cental Budget - hwy'!$B$16:$AQ$90,AC$1,FALSE),0)+IF(ISNUMBER(VLOOKUP($B66,#REF!,AC$1,FALSE)),VLOOKUP($B66,#REF!,AC$1,FALSE),0)</f>
        <v>9.9075722647239761</v>
      </c>
      <c r="AD66" s="194">
        <f>+IF(ISNUMBER(VLOOKUP($B66,'Cental Budget - hwy'!$B$16:$AQ$90,AD$1,FALSE)),VLOOKUP($B66,'Cental Budget - hwy'!$B$16:$AQ$90,AD$1,FALSE),0)+IF(ISNUMBER(VLOOKUP($B66,#REF!,AD$1,FALSE)),VLOOKUP($B66,#REF!,AD$1,FALSE),0)</f>
        <v>0</v>
      </c>
      <c r="AE66" s="193">
        <f>+IF(ISNUMBER(VLOOKUP($B66,'Cental Budget - hwy'!$B$16:$AQ$90,AE$1,FALSE)),VLOOKUP($B66,'Cental Budget - hwy'!$B$16:$AQ$90,AE$1,FALSE),0)+IF(ISNUMBER(VLOOKUP($B66,#REF!,AE$1,FALSE)),VLOOKUP($B66,#REF!,AE$1,FALSE),0)</f>
        <v>361860566.20999998</v>
      </c>
      <c r="AF66" s="101">
        <f t="shared" si="11"/>
        <v>9.7483809406609172</v>
      </c>
      <c r="AG66" s="193">
        <f>+IF(ISNUMBER(VLOOKUP($B66,'Cental Budget - hwy'!$B$16:$AQ$90,AG$1,FALSE)),VLOOKUP($B66,'Cental Budget - hwy'!$B$16:$AQ$90,AG$1,FALSE),0)+IF(ISNUMBER(VLOOKUP($B66,#REF!,AG$1,FALSE)),VLOOKUP($B66,#REF!,AG$1,FALSE),0)</f>
        <v>331900000</v>
      </c>
      <c r="AH66" s="101">
        <f>+IF(ISNUMBER(VLOOKUP($B66,'Cental Budget - hwy'!$B$16:$AQ$90,AH$1,FALSE)),VLOOKUP($B66,'Cental Budget - hwy'!$B$16:$AQ$90,AH$1,FALSE),0)+IF(ISNUMBER(VLOOKUP($B66,#REF!,AH$1,FALSE)),VLOOKUP($B66,#REF!,AH$1,FALSE),0)</f>
        <v>8.4450254099284301</v>
      </c>
      <c r="AI66" s="194">
        <f>+IF(ISNUMBER(VLOOKUP($B66,'Cental Budget - hwy'!$B$16:$AQ$90,AI$1,FALSE)),VLOOKUP($B66,'Cental Budget - hwy'!$B$16:$AQ$90,AI$1,FALSE),0)+IF(ISNUMBER(VLOOKUP($B66,#REF!,AI$1,FALSE)),VLOOKUP($B66,#REF!,AI$1,FALSE),0)</f>
        <v>0</v>
      </c>
      <c r="AJ66" s="193">
        <f>+IF(ISNUMBER(VLOOKUP($B66,'Cental Budget - hwy'!$B$16:$AQ$90,AJ$1,FALSE)),VLOOKUP($B66,'Cental Budget - hwy'!$B$16:$AQ$90,AJ$1,FALSE),0)+IF(ISNUMBER(VLOOKUP($B66,#REF!,AJ$1,FALSE)),VLOOKUP($B66,#REF!,AJ$1,FALSE),0)</f>
        <v>341365232.35000002</v>
      </c>
      <c r="AK66" s="101">
        <f t="shared" si="12"/>
        <v>8.6858633963900971</v>
      </c>
      <c r="AL66" s="193">
        <f>+IF(ISNUMBER(VLOOKUP($B66,'Cental Budget - hwy'!$B$16:$AQ$90,AL$1,FALSE)),VLOOKUP($B66,'Cental Budget - hwy'!$B$16:$AQ$90,AL$1,FALSE),0)+IF(ISNUMBER(VLOOKUP($B66,#REF!,AL$1,FALSE)),VLOOKUP($B66,#REF!,AL$1,FALSE),0)</f>
        <v>127935158.54000001</v>
      </c>
      <c r="AM66" s="101">
        <f t="shared" si="13"/>
        <v>3.0686694434641395</v>
      </c>
      <c r="AO66" s="105"/>
      <c r="AP66" s="106"/>
      <c r="AQ66" s="106"/>
      <c r="AR66" s="106"/>
      <c r="AS66" s="106"/>
      <c r="AT66" s="107"/>
      <c r="AU66" s="81"/>
      <c r="AV66" s="81"/>
      <c r="AW66" s="81"/>
      <c r="AX66" s="81"/>
      <c r="AY66" s="81"/>
      <c r="AZ66" s="81"/>
      <c r="BA66" s="81"/>
      <c r="BB66" s="81"/>
      <c r="BC66" s="81"/>
      <c r="BD66" s="81"/>
      <c r="BE66" s="81"/>
      <c r="BF66" s="81"/>
      <c r="BG66" s="81"/>
      <c r="DS66" s="198"/>
      <c r="DT66" s="198"/>
      <c r="DU66" s="176"/>
      <c r="DV66" s="176"/>
      <c r="DW66" s="176"/>
      <c r="DX66" s="175"/>
    </row>
    <row r="67" spans="2:128" ht="13.5" customHeight="1" thickBot="1">
      <c r="B67" s="80">
        <v>4630</v>
      </c>
      <c r="C67" s="99" t="s">
        <v>116</v>
      </c>
      <c r="D67" s="193">
        <f>+IF(ISNUMBER(VLOOKUP($B67,'Cental Budget - hwy'!$B$16:$AQ$90,D$1,FALSE)),VLOOKUP($B67,'Cental Budget - hwy'!$B$16:$AQ$90,D$1,FALSE),0)+IF(ISNUMBER(VLOOKUP($B67,#REF!,D$1,FALSE)),VLOOKUP($B67,#REF!,D$1,FALSE),0)</f>
        <v>55676065.859999999</v>
      </c>
      <c r="E67" s="101">
        <f t="shared" si="16"/>
        <v>2.5909100404858298</v>
      </c>
      <c r="F67" s="193">
        <f>+IF(ISNUMBER(VLOOKUP($B67,'Cental Budget - hwy'!$B$16:$AQ$90,F$1,FALSE)),VLOOKUP($B67,'Cental Budget - hwy'!$B$16:$AQ$90,F$1,FALSE),0)+IF(ISNUMBER(VLOOKUP($B67,#REF!,F$1,FALSE)),VLOOKUP($B67,#REF!,F$1,FALSE),0)</f>
        <v>53564873.539999999</v>
      </c>
      <c r="G67" s="101">
        <f t="shared" si="17"/>
        <v>1.9983164909531801</v>
      </c>
      <c r="H67" s="193">
        <f>+IF(ISNUMBER(VLOOKUP($B67,'Cental Budget - hwy'!$B$16:$AQ$90,H$1,FALSE)),VLOOKUP($B67,'Cental Budget - hwy'!$B$16:$AQ$90,H$1,FALSE),0)+IF(ISNUMBER(VLOOKUP($B67,#REF!,H$1,FALSE)),VLOOKUP($B67,#REF!,H$1,FALSE),0)</f>
        <v>57775938.409999996</v>
      </c>
      <c r="I67" s="101">
        <f t="shared" si="18"/>
        <v>1.8724377239434791</v>
      </c>
      <c r="J67" s="193">
        <f>+IF(ISNUMBER(VLOOKUP($B67,'Cental Budget - hwy'!$B$16:$AQ$90,J$1,FALSE)),VLOOKUP($B67,'Cental Budget - hwy'!$B$16:$AQ$90,J$1,FALSE),0)+IF(ISNUMBER(VLOOKUP($B67,#REF!,J$1,FALSE)),VLOOKUP($B67,#REF!,J$1,FALSE),0)</f>
        <v>56919463.310000002</v>
      </c>
      <c r="K67" s="101">
        <f t="shared" si="19"/>
        <v>1.909408363300906</v>
      </c>
      <c r="L67" s="193">
        <f>+IF(ISNUMBER(VLOOKUP($B67,'Cental Budget - hwy'!$B$16:$AQ$90,L$1,FALSE)),VLOOKUP($B67,'Cental Budget - hwy'!$B$16:$AQ$90,L$1,FALSE),0)+IF(ISNUMBER(VLOOKUP($B67,#REF!,L$1,FALSE)),VLOOKUP($B67,#REF!,L$1,FALSE),0)</f>
        <v>83862787.909999996</v>
      </c>
      <c r="M67" s="101">
        <f t="shared" si="14"/>
        <v>2.7017650744201029</v>
      </c>
      <c r="N67" s="193">
        <f>+IF(ISNUMBER(VLOOKUP($B67,'Cental Budget - hwy'!$B$16:$AQ$90,N$1,FALSE)),VLOOKUP($B67,'Cental Budget - hwy'!$B$16:$AQ$90,N$1,FALSE),0)+IF(ISNUMBER(VLOOKUP($B67,#REF!,N$1,FALSE)),VLOOKUP($B67,#REF!,N$1,FALSE),0)</f>
        <v>41306493.93</v>
      </c>
      <c r="O67" s="101">
        <f t="shared" si="5"/>
        <v>1.2772570788497217</v>
      </c>
      <c r="P67" s="193">
        <f>+IF(ISNUMBER(VLOOKUP($B67,'Cental Budget - hwy'!$B$16:$AQ$90,P$1,FALSE)),VLOOKUP($B67,'Cental Budget - hwy'!$B$16:$AQ$90,P$1,FALSE),0)+IF(ISNUMBER(VLOOKUP($B67,#REF!,P$1,FALSE)),VLOOKUP($B67,#REF!,P$1,FALSE),0)</f>
        <v>2623840.39</v>
      </c>
      <c r="Q67" s="101">
        <f t="shared" si="6"/>
        <v>8.3322972054620512E-2</v>
      </c>
      <c r="R67" s="193">
        <f>+IF(ISNUMBER(VLOOKUP($B67,'Cental Budget - hwy'!$B$16:$AQ$90,R$1,FALSE)),VLOOKUP($B67,'Cental Budget - hwy'!$B$16:$AQ$90,R$1,FALSE),0)+IF(ISNUMBER(VLOOKUP($B67,#REF!,R$1,FALSE)),VLOOKUP($B67,#REF!,R$1,FALSE),0)</f>
        <v>60278571.609999992</v>
      </c>
      <c r="S67" s="101">
        <f t="shared" si="7"/>
        <v>1.8069687681137414</v>
      </c>
      <c r="T67" s="193">
        <f>+IF(ISNUMBER(VLOOKUP($B67,'Cental Budget - hwy'!$B$16:$AQ$90,T$1,FALSE)),VLOOKUP($B67,'Cental Budget - hwy'!$B$16:$AQ$90,T$1,FALSE),0)+IF(ISNUMBER(VLOOKUP($B67,#REF!,T$1,FALSE)),VLOOKUP($B67,#REF!,T$1,FALSE),0)</f>
        <v>33338159.969999999</v>
      </c>
      <c r="U67" s="101">
        <f t="shared" si="8"/>
        <v>0.94814199175842395</v>
      </c>
      <c r="V67" s="192">
        <f>+IF(ISNUMBER(VLOOKUP($B67,'Cental Budget - hwy'!$B$16:$AQ$90,V$1,FALSE)),VLOOKUP($B67,'Cental Budget - hwy'!$B$16:$AQ$90,V$1,FALSE),0)+IF(ISNUMBER(VLOOKUP($B67,#REF!,V$1,FALSE)),VLOOKUP($B67,#REF!,V$1,FALSE),0)</f>
        <v>0</v>
      </c>
      <c r="W67" s="192">
        <f>+IF(ISNUMBER(VLOOKUP($B67,'Cental Budget - hwy'!$B$16:$AQ$90,W$1,FALSE)),VLOOKUP($B67,'Cental Budget - hwy'!$B$16:$AQ$90,W$1,FALSE),0)+IF(ISNUMBER(VLOOKUP($B67,#REF!,W$1,FALSE)),VLOOKUP($B67,#REF!,W$1,FALSE),0)</f>
        <v>0</v>
      </c>
      <c r="X67" s="193">
        <f>+IF(ISNUMBER(VLOOKUP($B67,'Cental Budget - hwy'!$B$16:$AQ$90,X$1,FALSE)),VLOOKUP($B67,'Cental Budget - hwy'!$B$16:$AQ$90,X$1,FALSE),0)+IF(ISNUMBER(VLOOKUP($B67,#REF!,X$1,FALSE)),VLOOKUP($B67,#REF!,X$1,FALSE),0)</f>
        <v>33338159.969999999</v>
      </c>
      <c r="Y67" s="101">
        <f t="shared" si="9"/>
        <v>0.94814199175842395</v>
      </c>
      <c r="Z67" s="193">
        <f>+IF(ISNUMBER(VLOOKUP($B67,'Cental Budget - hwy'!$B$16:$AQ$90,Z$1,FALSE)),VLOOKUP($B67,'Cental Budget - hwy'!$B$16:$AQ$90,Z$1,FALSE),0)+IF(ISNUMBER(VLOOKUP($B67,#REF!,Z$1,FALSE)),VLOOKUP($B67,#REF!,Z$1,FALSE),0)</f>
        <v>0</v>
      </c>
      <c r="AA67" s="101">
        <f t="shared" si="15"/>
        <v>0</v>
      </c>
      <c r="AB67" s="193">
        <f>+IF(ISNUMBER(VLOOKUP($B67,'Cental Budget - hwy'!$B$16:$AQ$90,AB$1,FALSE)),VLOOKUP($B67,'Cental Budget - hwy'!$B$16:$AQ$90,AB$1,FALSE),0)+IF(ISNUMBER(VLOOKUP($B67,#REF!,AB$1,FALSE)),VLOOKUP($B67,#REF!,AB$1,FALSE),0)</f>
        <v>31900000</v>
      </c>
      <c r="AC67" s="101">
        <f>+IF(ISNUMBER(VLOOKUP($B67,'Cental Budget - hwy'!$B$16:$AQ$90,AC$1,FALSE)),VLOOKUP($B67,'Cental Budget - hwy'!$B$16:$AQ$90,AC$1,FALSE),0)+IF(ISNUMBER(VLOOKUP($B67,#REF!,AC$1,FALSE)),VLOOKUP($B67,#REF!,AC$1,FALSE),0)</f>
        <v>0.85937341906057507</v>
      </c>
      <c r="AD67" s="194">
        <f>+IF(ISNUMBER(VLOOKUP($B67,'Cental Budget - hwy'!$B$16:$AQ$90,AD$1,FALSE)),VLOOKUP($B67,'Cental Budget - hwy'!$B$16:$AQ$90,AD$1,FALSE),0)+IF(ISNUMBER(VLOOKUP($B67,#REF!,AD$1,FALSE)),VLOOKUP($B67,#REF!,AD$1,FALSE),0)</f>
        <v>0</v>
      </c>
      <c r="AE67" s="193">
        <f>+IF(ISNUMBER(VLOOKUP($B67,'Cental Budget - hwy'!$B$16:$AQ$90,AE$1,FALSE)),VLOOKUP($B67,'Cental Budget - hwy'!$B$16:$AQ$90,AE$1,FALSE),0)+IF(ISNUMBER(VLOOKUP($B67,#REF!,AE$1,FALSE)),VLOOKUP($B67,#REF!,AE$1,FALSE),0)</f>
        <v>10000000</v>
      </c>
      <c r="AF67" s="101">
        <f t="shared" si="11"/>
        <v>0.2693960561318417</v>
      </c>
      <c r="AG67" s="193">
        <f>+IF(ISNUMBER(VLOOKUP($B67,'Cental Budget - hwy'!$B$16:$AQ$90,AG$1,FALSE)),VLOOKUP($B67,'Cental Budget - hwy'!$B$16:$AQ$90,AG$1,FALSE),0)+IF(ISNUMBER(VLOOKUP($B67,#REF!,AG$1,FALSE)),VLOOKUP($B67,#REF!,AG$1,FALSE),0)</f>
        <v>24700000</v>
      </c>
      <c r="AH67" s="101">
        <f>+IF(ISNUMBER(VLOOKUP($B67,'Cental Budget - hwy'!$B$16:$AQ$90,AH$1,FALSE)),VLOOKUP($B67,'Cental Budget - hwy'!$B$16:$AQ$90,AH$1,FALSE),0)+IF(ISNUMBER(VLOOKUP($B67,#REF!,AH$1,FALSE)),VLOOKUP($B67,#REF!,AH$1,FALSE),0)</f>
        <v>0.62847884189584891</v>
      </c>
      <c r="AI67" s="194">
        <f>+IF(ISNUMBER(VLOOKUP($B67,'Cental Budget - hwy'!$B$16:$AQ$90,AI$1,FALSE)),VLOOKUP($B67,'Cental Budget - hwy'!$B$16:$AQ$90,AI$1,FALSE),0)+IF(ISNUMBER(VLOOKUP($B67,#REF!,AI$1,FALSE)),VLOOKUP($B67,#REF!,AI$1,FALSE),0)</f>
        <v>0</v>
      </c>
      <c r="AJ67" s="193">
        <f>+IF(ISNUMBER(VLOOKUP($B67,'Cental Budget - hwy'!$B$16:$AQ$90,AJ$1,FALSE)),VLOOKUP($B67,'Cental Budget - hwy'!$B$16:$AQ$90,AJ$1,FALSE),0)+IF(ISNUMBER(VLOOKUP($B67,#REF!,AJ$1,FALSE)),VLOOKUP($B67,#REF!,AJ$1,FALSE),0)</f>
        <v>10000000</v>
      </c>
      <c r="AK67" s="101">
        <f t="shared" si="12"/>
        <v>0.2544448752614773</v>
      </c>
      <c r="AL67" s="193">
        <f>+IF(ISNUMBER(VLOOKUP($B67,'Cental Budget - hwy'!$B$16:$AQ$90,AL$1,FALSE)),VLOOKUP($B67,'Cental Budget - hwy'!$B$16:$AQ$90,AL$1,FALSE),0)+IF(ISNUMBER(VLOOKUP($B67,#REF!,AL$1,FALSE)),VLOOKUP($B67,#REF!,AL$1,FALSE),0)</f>
        <v>10000000</v>
      </c>
      <c r="AM67" s="101">
        <f t="shared" si="13"/>
        <v>0.23986130775026118</v>
      </c>
      <c r="AO67" s="105"/>
      <c r="AP67" s="106"/>
      <c r="AQ67" s="106"/>
      <c r="AR67" s="106"/>
      <c r="AS67" s="106"/>
      <c r="AT67" s="107"/>
      <c r="AU67" s="81"/>
      <c r="AV67" s="81"/>
      <c r="AW67" s="81"/>
      <c r="AX67" s="81"/>
      <c r="AY67" s="81"/>
      <c r="AZ67" s="81"/>
      <c r="BA67" s="81"/>
      <c r="BB67" s="81"/>
      <c r="BC67" s="81"/>
      <c r="BD67" s="81"/>
      <c r="BE67" s="81"/>
      <c r="BF67" s="81"/>
      <c r="BG67" s="81"/>
      <c r="DS67" s="198"/>
      <c r="DT67" s="198"/>
      <c r="DU67" s="176"/>
      <c r="DV67" s="176"/>
      <c r="DW67" s="176"/>
      <c r="DX67" s="175"/>
    </row>
    <row r="68" spans="2:128" ht="13.5" customHeight="1" thickTop="1" thickBot="1">
      <c r="C68" s="234" t="s">
        <v>141</v>
      </c>
      <c r="D68" s="225">
        <f>+D62-D64</f>
        <v>228911583.66999966</v>
      </c>
      <c r="E68" s="226">
        <f t="shared" si="16"/>
        <v>10.652500519800814</v>
      </c>
      <c r="F68" s="225">
        <f>+F62-F64</f>
        <v>314508342.82999992</v>
      </c>
      <c r="G68" s="226">
        <f t="shared" si="17"/>
        <v>11.733196897220664</v>
      </c>
      <c r="H68" s="225">
        <f>+H62-H64</f>
        <v>238794703.0799998</v>
      </c>
      <c r="I68" s="226">
        <f t="shared" si="18"/>
        <v>7.7390038592170018</v>
      </c>
      <c r="J68" s="225">
        <f>+J62-J64</f>
        <v>158273729.3155002</v>
      </c>
      <c r="K68" s="226">
        <f t="shared" si="19"/>
        <v>5.3094172866655551</v>
      </c>
      <c r="L68" s="225">
        <f>+L62-L64</f>
        <v>154693149.2100004</v>
      </c>
      <c r="M68" s="226">
        <f t="shared" si="14"/>
        <v>4.983671044136611</v>
      </c>
      <c r="N68" s="225">
        <f>+N62-N64</f>
        <v>161514517.49000019</v>
      </c>
      <c r="O68" s="226">
        <f t="shared" si="5"/>
        <v>4.9942646100804016</v>
      </c>
      <c r="P68" s="225">
        <f>+P62-P64</f>
        <v>183752126.69999981</v>
      </c>
      <c r="Q68" s="226">
        <f t="shared" si="6"/>
        <v>5.8352533089869745</v>
      </c>
      <c r="R68" s="225">
        <f>+R62-R64</f>
        <v>112869716.68708232</v>
      </c>
      <c r="S68" s="226">
        <f t="shared" si="7"/>
        <v>3.3834918026751857</v>
      </c>
      <c r="T68" s="225">
        <f>+T62-T64</f>
        <v>257247823.09717035</v>
      </c>
      <c r="U68" s="226">
        <f t="shared" si="8"/>
        <v>7.3161645269671363</v>
      </c>
      <c r="V68" s="236"/>
      <c r="W68" s="237"/>
      <c r="X68" s="225">
        <f>+X62-X64</f>
        <v>-1040961777.5999999</v>
      </c>
      <c r="Y68" s="226">
        <f t="shared" si="9"/>
        <v>-29.60510040284786</v>
      </c>
      <c r="Z68" s="225">
        <f>+Z62-Z64</f>
        <v>0</v>
      </c>
      <c r="AA68" s="226">
        <f t="shared" si="15"/>
        <v>0</v>
      </c>
      <c r="AB68" s="225">
        <f>+AB62-AB64</f>
        <v>-1151815378.8840415</v>
      </c>
      <c r="AC68" s="226">
        <f>AB68/AB$11*100</f>
        <v>-31.029452046336374</v>
      </c>
      <c r="AD68" s="235"/>
      <c r="AE68" s="225">
        <f>+AE62-AE64</f>
        <v>-1430787890.6929367</v>
      </c>
      <c r="AF68" s="226">
        <f t="shared" si="11"/>
        <v>-38.544861491387373</v>
      </c>
      <c r="AG68" s="232">
        <v>-370788033.04426503</v>
      </c>
      <c r="AH68" s="226">
        <f>AG68/AG$11*100</f>
        <v>-9.4345114816396531</v>
      </c>
      <c r="AI68" s="235"/>
      <c r="AJ68" s="225" t="e">
        <f>+AJ62-AJ64</f>
        <v>#REF!</v>
      </c>
      <c r="AK68" s="226" t="e">
        <f t="shared" si="12"/>
        <v>#REF!</v>
      </c>
      <c r="AL68" s="225" t="e">
        <f>+AL62-AL64</f>
        <v>#REF!</v>
      </c>
      <c r="AM68" s="226" t="e">
        <f t="shared" si="13"/>
        <v>#REF!</v>
      </c>
      <c r="AO68" s="105"/>
      <c r="AP68" s="106"/>
      <c r="AQ68" s="106"/>
      <c r="AR68" s="106"/>
      <c r="AS68" s="106"/>
      <c r="AT68" s="107"/>
      <c r="AU68" s="81"/>
      <c r="AV68" s="81"/>
      <c r="AW68" s="81"/>
      <c r="AX68" s="81"/>
      <c r="AY68" s="81"/>
      <c r="AZ68" s="81"/>
      <c r="BA68" s="81"/>
      <c r="BB68" s="81"/>
      <c r="BC68" s="81"/>
      <c r="BD68" s="81"/>
      <c r="BE68" s="81"/>
      <c r="BF68" s="81"/>
      <c r="BG68" s="81"/>
      <c r="DS68" s="198"/>
      <c r="DT68" s="198"/>
      <c r="DU68" s="176"/>
      <c r="DV68" s="176"/>
      <c r="DW68" s="176"/>
      <c r="DX68" s="175"/>
    </row>
    <row r="69" spans="2:128" ht="13.5" customHeight="1" thickTop="1" thickBot="1">
      <c r="C69" s="234" t="s">
        <v>121</v>
      </c>
      <c r="D69" s="225">
        <f>+SUM(D70:D74)</f>
        <v>-228911583.66999966</v>
      </c>
      <c r="E69" s="226">
        <f t="shared" si="16"/>
        <v>-10.652500519800814</v>
      </c>
      <c r="F69" s="225">
        <f>+SUM(F70:F74)</f>
        <v>-314508342.82999992</v>
      </c>
      <c r="G69" s="226">
        <f t="shared" si="17"/>
        <v>-11.733196897220664</v>
      </c>
      <c r="H69" s="225">
        <f>+SUM(H70:H74)</f>
        <v>-238794703.0799998</v>
      </c>
      <c r="I69" s="226">
        <f t="shared" si="18"/>
        <v>-7.7390038592170018</v>
      </c>
      <c r="J69" s="225">
        <f>+SUM(J70:J74)</f>
        <v>-158273729.3155002</v>
      </c>
      <c r="K69" s="226">
        <f t="shared" si="19"/>
        <v>-5.3094172866655551</v>
      </c>
      <c r="L69" s="225">
        <f>+SUM(L70:L74)</f>
        <v>-154693149.2100004</v>
      </c>
      <c r="M69" s="226">
        <f t="shared" si="14"/>
        <v>-4.983671044136611</v>
      </c>
      <c r="N69" s="225">
        <f>+SUM(N70:N74)</f>
        <v>-161514517.49000019</v>
      </c>
      <c r="O69" s="226">
        <f t="shared" si="5"/>
        <v>-4.9942646100804016</v>
      </c>
      <c r="P69" s="225">
        <f>+SUM(P70:P74)</f>
        <v>-183752126.69999981</v>
      </c>
      <c r="Q69" s="226">
        <f t="shared" si="6"/>
        <v>-5.8352533089869745</v>
      </c>
      <c r="R69" s="225">
        <f>+SUM(R70:R74)</f>
        <v>-112869716.68708235</v>
      </c>
      <c r="S69" s="226">
        <f t="shared" si="7"/>
        <v>-3.3834918026751861</v>
      </c>
      <c r="T69" s="225">
        <f>+SUM(T70:T74)</f>
        <v>-257247823.09717035</v>
      </c>
      <c r="U69" s="226">
        <f t="shared" si="8"/>
        <v>-7.3161645269671363</v>
      </c>
      <c r="V69" s="236"/>
      <c r="W69" s="237"/>
      <c r="X69" s="225">
        <f>+SUM(X70:X74)</f>
        <v>1040961777.5999999</v>
      </c>
      <c r="Y69" s="226">
        <f t="shared" si="9"/>
        <v>29.60510040284786</v>
      </c>
      <c r="Z69" s="225">
        <f>+SUM(Z70:Z74)</f>
        <v>0</v>
      </c>
      <c r="AA69" s="226">
        <f t="shared" si="15"/>
        <v>0</v>
      </c>
      <c r="AB69" s="225">
        <f>+SUM(AB70:AB74)</f>
        <v>1151815378.8840415</v>
      </c>
      <c r="AC69" s="226">
        <f>AB69/AB$11*100</f>
        <v>31.029452046336374</v>
      </c>
      <c r="AD69" s="235"/>
      <c r="AE69" s="225">
        <f>+SUM(AE70:AE74)</f>
        <v>1430787890.6929367</v>
      </c>
      <c r="AF69" s="226">
        <f t="shared" si="11"/>
        <v>38.544861491387373</v>
      </c>
      <c r="AG69" s="232">
        <v>370788033.04426503</v>
      </c>
      <c r="AH69" s="226">
        <f>AG69/AG$11*100</f>
        <v>9.4345114816396531</v>
      </c>
      <c r="AI69" s="235"/>
      <c r="AJ69" s="225" t="e">
        <f>+SUM(AJ70:AJ74)</f>
        <v>#REF!</v>
      </c>
      <c r="AK69" s="226" t="e">
        <f t="shared" si="12"/>
        <v>#REF!</v>
      </c>
      <c r="AL69" s="225" t="e">
        <f>+SUM(AL70:AL74)</f>
        <v>#REF!</v>
      </c>
      <c r="AM69" s="226" t="e">
        <f t="shared" si="13"/>
        <v>#REF!</v>
      </c>
      <c r="AO69" s="105"/>
      <c r="AP69" s="106"/>
      <c r="AQ69" s="106"/>
      <c r="AR69" s="106"/>
      <c r="AS69" s="106"/>
      <c r="AT69" s="107"/>
      <c r="AU69" s="81"/>
      <c r="AV69" s="81"/>
      <c r="AW69" s="81"/>
      <c r="AX69" s="81"/>
      <c r="AY69" s="81"/>
      <c r="AZ69" s="81"/>
      <c r="BA69" s="81"/>
      <c r="BB69" s="81"/>
      <c r="BC69" s="81"/>
      <c r="BD69" s="81"/>
      <c r="BE69" s="81"/>
      <c r="BF69" s="81"/>
      <c r="BG69" s="81"/>
      <c r="DS69" s="198"/>
      <c r="DT69" s="198"/>
      <c r="DU69" s="176"/>
      <c r="DV69" s="176"/>
      <c r="DW69" s="176"/>
      <c r="DX69" s="175"/>
    </row>
    <row r="70" spans="2:128" ht="13.5" customHeight="1" thickTop="1">
      <c r="B70" s="80">
        <v>7511</v>
      </c>
      <c r="C70" s="99" t="s">
        <v>144</v>
      </c>
      <c r="D70" s="193">
        <f>+IF(ISNUMBER(VLOOKUP($B70,'Cental Budget - hwy'!$B$16:$AQ$90,D$1,FALSE)),VLOOKUP($B70,'Cental Budget - hwy'!$B$16:$AQ$90,D$1,FALSE),0)+IF(ISNUMBER(VLOOKUP($B70,#REF!,D$1,FALSE)),VLOOKUP($B70,#REF!,D$1,FALSE),0)</f>
        <v>10687379.58</v>
      </c>
      <c r="E70" s="101">
        <f t="shared" si="16"/>
        <v>0.49734187630880911</v>
      </c>
      <c r="F70" s="193">
        <f>+IF(ISNUMBER(VLOOKUP($B70,'Cental Budget - hwy'!$B$16:$AQ$90,F$1,FALSE)),VLOOKUP($B70,'Cental Budget - hwy'!$B$16:$AQ$90,F$1,FALSE),0)+IF(ISNUMBER(VLOOKUP($B70,#REF!,F$1,FALSE)),VLOOKUP($B70,#REF!,F$1,FALSE),0)</f>
        <v>8315797</v>
      </c>
      <c r="G70" s="101">
        <f t="shared" si="17"/>
        <v>0.31023305353478825</v>
      </c>
      <c r="H70" s="193">
        <f>+IF(ISNUMBER(VLOOKUP($B70,'Cental Budget - hwy'!$B$16:$AQ$90,H$1,FALSE)),VLOOKUP($B70,'Cental Budget - hwy'!$B$16:$AQ$90,H$1,FALSE),0)+IF(ISNUMBER(VLOOKUP($B70,#REF!,H$1,FALSE)),VLOOKUP($B70,#REF!,H$1,FALSE),0)</f>
        <v>7657882.2599999998</v>
      </c>
      <c r="I70" s="101">
        <f t="shared" si="18"/>
        <v>0.24818130217785844</v>
      </c>
      <c r="J70" s="193">
        <f>+IF(ISNUMBER(VLOOKUP($B70,'Cental Budget - hwy'!$B$16:$AQ$90,J$1,FALSE)),VLOOKUP($B70,'Cental Budget - hwy'!$B$16:$AQ$90,J$1,FALSE),0)+IF(ISNUMBER(VLOOKUP($B70,#REF!,J$1,FALSE)),VLOOKUP($B70,#REF!,J$1,FALSE),0)</f>
        <v>108130460.73</v>
      </c>
      <c r="K70" s="101">
        <f t="shared" si="19"/>
        <v>3.6273217286145591</v>
      </c>
      <c r="L70" s="193">
        <f>+IF(ISNUMBER(VLOOKUP($B70,'Cental Budget - hwy'!$B$16:$AQ$90,L$1,FALSE)),VLOOKUP($B70,'Cental Budget - hwy'!$B$16:$AQ$90,L$1,FALSE),0)+IF(ISNUMBER(VLOOKUP($B70,#REF!,L$1,FALSE)),VLOOKUP($B70,#REF!,L$1,FALSE),0)</f>
        <v>20068251.93</v>
      </c>
      <c r="M70" s="101">
        <f t="shared" si="14"/>
        <v>0.64652873485824736</v>
      </c>
      <c r="N70" s="193">
        <f>+IF(ISNUMBER(VLOOKUP($B70,'Cental Budget - hwy'!$B$16:$AQ$90,N$1,FALSE)),VLOOKUP($B70,'Cental Budget - hwy'!$B$16:$AQ$90,N$1,FALSE),0)+IF(ISNUMBER(VLOOKUP($B70,#REF!,N$1,FALSE)),VLOOKUP($B70,#REF!,N$1,FALSE),0)</f>
        <v>47000000</v>
      </c>
      <c r="O70" s="101">
        <f t="shared" si="5"/>
        <v>1.453308596165739</v>
      </c>
      <c r="P70" s="193">
        <f>+IF(ISNUMBER(VLOOKUP($B70,'Cental Budget - hwy'!$B$16:$AQ$90,P$1,FALSE)),VLOOKUP($B70,'Cental Budget - hwy'!$B$16:$AQ$90,P$1,FALSE),0)+IF(ISNUMBER(VLOOKUP($B70,#REF!,P$1,FALSE)),VLOOKUP($B70,#REF!,P$1,FALSE),0)</f>
        <v>63454375.850000001</v>
      </c>
      <c r="Q70" s="101">
        <f t="shared" si="6"/>
        <v>2.015064333121626</v>
      </c>
      <c r="R70" s="193">
        <f>+IF(ISNUMBER(VLOOKUP($B70,'Cental Budget - hwy'!$B$16:$AQ$90,R$1,FALSE)),VLOOKUP($B70,'Cental Budget - hwy'!$B$16:$AQ$90,R$1,FALSE),0)+IF(ISNUMBER(VLOOKUP($B70,#REF!,R$1,FALSE)),VLOOKUP($B70,#REF!,R$1,FALSE),0)</f>
        <v>102834751.84999999</v>
      </c>
      <c r="S70" s="101">
        <f t="shared" si="7"/>
        <v>3.0826739902186082</v>
      </c>
      <c r="T70" s="193">
        <f>+IF(ISNUMBER(VLOOKUP($B70,'Cental Budget - hwy'!$B$16:$AQ$90,T$1,FALSE)),VLOOKUP($B70,'Cental Budget - hwy'!$B$16:$AQ$90,T$1,FALSE),0)+IF(ISNUMBER(VLOOKUP($B70,#REF!,T$1,FALSE)),VLOOKUP($B70,#REF!,T$1,FALSE),0)</f>
        <v>0</v>
      </c>
      <c r="U70" s="101">
        <f t="shared" si="8"/>
        <v>0</v>
      </c>
      <c r="V70" s="192">
        <f>+IF(ISNUMBER(VLOOKUP($B70,'Cental Budget - hwy'!$B$16:$AQ$90,V$1,FALSE)),VLOOKUP($B70,'Cental Budget - hwy'!$B$16:$AQ$90,V$1,FALSE),0)+IF(ISNUMBER(VLOOKUP($B70,#REF!,V$1,FALSE)),VLOOKUP($B70,#REF!,V$1,FALSE),0)</f>
        <v>0</v>
      </c>
      <c r="W70" s="192">
        <f>+IF(ISNUMBER(VLOOKUP($B70,'Cental Budget - hwy'!$B$16:$AQ$90,W$1,FALSE)),VLOOKUP($B70,'Cental Budget - hwy'!$B$16:$AQ$90,W$1,FALSE),0)+IF(ISNUMBER(VLOOKUP($B70,#REF!,W$1,FALSE)),VLOOKUP($B70,#REF!,W$1,FALSE),0)</f>
        <v>0</v>
      </c>
      <c r="X70" s="193">
        <f>+IF(ISNUMBER(VLOOKUP($B70,'Cental Budget - hwy'!$B$16:$AQ$90,X$1,FALSE)),VLOOKUP($B70,'Cental Budget - hwy'!$B$16:$AQ$90,X$1,FALSE),0)+IF(ISNUMBER(VLOOKUP($B70,#REF!,X$1,FALSE)),VLOOKUP($B70,#REF!,X$1,FALSE),0)</f>
        <v>0</v>
      </c>
      <c r="Y70" s="101">
        <f t="shared" si="9"/>
        <v>0</v>
      </c>
      <c r="Z70" s="193">
        <f>+IF(ISNUMBER(VLOOKUP($B70,'Cental Budget - hwy'!$B$16:$AQ$90,Z$1,FALSE)),VLOOKUP($B70,'Cental Budget - hwy'!$B$16:$AQ$90,Z$1,FALSE),0)+IF(ISNUMBER(VLOOKUP($B70,#REF!,Z$1,FALSE)),VLOOKUP($B70,#REF!,Z$1,FALSE),0)</f>
        <v>0</v>
      </c>
      <c r="AA70" s="101">
        <f t="shared" si="15"/>
        <v>0</v>
      </c>
      <c r="AB70" s="193">
        <f>+IF(ISNUMBER(VLOOKUP($B70,'Cental Budget - hwy'!$B$16:$AQ$90,AB$1,FALSE)),VLOOKUP($B70,'Cental Budget - hwy'!$B$16:$AQ$90,AB$1,FALSE),0)+IF(ISNUMBER(VLOOKUP($B70,#REF!,AB$1,FALSE)),VLOOKUP($B70,#REF!,AB$1,FALSE),0)</f>
        <v>0</v>
      </c>
      <c r="AC70" s="101">
        <f>+IF(ISNUMBER(VLOOKUP($B70,'Cental Budget - hwy'!$B$16:$AQ$90,AC$1,FALSE)),VLOOKUP($B70,'Cental Budget - hwy'!$B$16:$AQ$90,AC$1,FALSE),0)+IF(ISNUMBER(VLOOKUP($B70,#REF!,AC$1,FALSE)),VLOOKUP($B70,#REF!,AC$1,FALSE),0)</f>
        <v>0</v>
      </c>
      <c r="AD70" s="194">
        <f>+IF(ISNUMBER(VLOOKUP($B70,'Cental Budget - hwy'!$B$16:$AQ$90,AD$1,FALSE)),VLOOKUP($B70,'Cental Budget - hwy'!$B$16:$AQ$90,AD$1,FALSE),0)+IF(ISNUMBER(VLOOKUP($B70,#REF!,AD$1,FALSE)),VLOOKUP($B70,#REF!,AD$1,FALSE),0)</f>
        <v>0</v>
      </c>
      <c r="AE70" s="193">
        <f>+IF(ISNUMBER(VLOOKUP($B70,'Cental Budget - hwy'!$B$16:$AQ$90,AE$1,FALSE)),VLOOKUP($B70,'Cental Budget - hwy'!$B$16:$AQ$90,AE$1,FALSE),0)+IF(ISNUMBER(VLOOKUP($B70,#REF!,AE$1,FALSE)),VLOOKUP($B70,#REF!,AE$1,FALSE),0)</f>
        <v>0</v>
      </c>
      <c r="AF70" s="101">
        <f t="shared" si="11"/>
        <v>0</v>
      </c>
      <c r="AG70" s="193">
        <f>+IF(ISNUMBER(VLOOKUP($B70,'Cental Budget - hwy'!$B$16:$AQ$90,AG$1,FALSE)),VLOOKUP($B70,'Cental Budget - hwy'!$B$16:$AQ$90,AG$1,FALSE),0)+IF(ISNUMBER(VLOOKUP($B70,#REF!,AG$1,FALSE)),VLOOKUP($B70,#REF!,AG$1,FALSE),0)</f>
        <v>0</v>
      </c>
      <c r="AH70" s="101">
        <f>+IF(ISNUMBER(VLOOKUP($B70,'Cental Budget - hwy'!$B$16:$AQ$90,AH$1,FALSE)),VLOOKUP($B70,'Cental Budget - hwy'!$B$16:$AQ$90,AH$1,FALSE),0)+IF(ISNUMBER(VLOOKUP($B70,#REF!,AH$1,FALSE)),VLOOKUP($B70,#REF!,AH$1,FALSE),0)</f>
        <v>0</v>
      </c>
      <c r="AI70" s="194">
        <f>+IF(ISNUMBER(VLOOKUP($B70,'Cental Budget - hwy'!$B$16:$AQ$90,AI$1,FALSE)),VLOOKUP($B70,'Cental Budget - hwy'!$B$16:$AQ$90,AI$1,FALSE),0)+IF(ISNUMBER(VLOOKUP($B70,#REF!,AI$1,FALSE)),VLOOKUP($B70,#REF!,AI$1,FALSE),0)</f>
        <v>0</v>
      </c>
      <c r="AJ70" s="193">
        <f>+IF(ISNUMBER(VLOOKUP($B70,'Cental Budget - hwy'!$B$16:$AQ$90,AJ$1,FALSE)),VLOOKUP($B70,'Cental Budget - hwy'!$B$16:$AQ$90,AJ$1,FALSE),0)+IF(ISNUMBER(VLOOKUP($B70,#REF!,AJ$1,FALSE)),VLOOKUP($B70,#REF!,AJ$1,FALSE),0)</f>
        <v>0</v>
      </c>
      <c r="AK70" s="101">
        <f t="shared" si="12"/>
        <v>0</v>
      </c>
      <c r="AL70" s="193">
        <f>+IF(ISNUMBER(VLOOKUP($B70,'Cental Budget - hwy'!$B$16:$AQ$90,AL$1,FALSE)),VLOOKUP($B70,'Cental Budget - hwy'!$B$16:$AQ$90,AL$1,FALSE),0)+IF(ISNUMBER(VLOOKUP($B70,#REF!,AL$1,FALSE)),VLOOKUP($B70,#REF!,AL$1,FALSE),0)</f>
        <v>0</v>
      </c>
      <c r="AM70" s="101">
        <f t="shared" si="13"/>
        <v>0</v>
      </c>
      <c r="AO70" s="105"/>
      <c r="AP70" s="106"/>
      <c r="AQ70" s="106"/>
      <c r="AR70" s="106"/>
      <c r="AS70" s="106"/>
      <c r="AT70" s="107"/>
      <c r="AU70" s="81"/>
      <c r="AV70" s="81"/>
      <c r="AW70" s="81"/>
      <c r="AX70" s="81"/>
      <c r="AY70" s="81"/>
      <c r="AZ70" s="81"/>
      <c r="BA70" s="81"/>
      <c r="BB70" s="81"/>
      <c r="BC70" s="81"/>
      <c r="BD70" s="81"/>
      <c r="BE70" s="81"/>
      <c r="BF70" s="81"/>
      <c r="BG70" s="81"/>
      <c r="DS70" s="198"/>
      <c r="DT70" s="198"/>
      <c r="DU70" s="176"/>
      <c r="DV70" s="176"/>
      <c r="DW70" s="176"/>
      <c r="DX70" s="175"/>
    </row>
    <row r="71" spans="2:128" ht="13.5" customHeight="1">
      <c r="B71" s="80">
        <v>7512</v>
      </c>
      <c r="C71" s="99" t="s">
        <v>122</v>
      </c>
      <c r="D71" s="193">
        <f>+IF(ISNUMBER(VLOOKUP($B71,'Cental Budget - hwy'!$B$16:$AQ$90,D$1,FALSE)),VLOOKUP($B71,'Cental Budget - hwy'!$B$16:$AQ$90,D$1,FALSE),0)+IF(ISNUMBER(VLOOKUP($B71,#REF!,D$1,FALSE)),VLOOKUP($B71,#REF!,D$1,FALSE),0)</f>
        <v>13153290.85</v>
      </c>
      <c r="E71" s="101">
        <f t="shared" si="16"/>
        <v>0.61209413420819947</v>
      </c>
      <c r="F71" s="193">
        <f>+IF(ISNUMBER(VLOOKUP($B71,'Cental Budget - hwy'!$B$16:$AQ$90,F$1,FALSE)),VLOOKUP($B71,'Cental Budget - hwy'!$B$16:$AQ$90,F$1,FALSE),0)+IF(ISNUMBER(VLOOKUP($B71,#REF!,F$1,FALSE)),VLOOKUP($B71,#REF!,F$1,FALSE),0)</f>
        <v>1996377.48</v>
      </c>
      <c r="G71" s="101">
        <f t="shared" si="17"/>
        <v>7.4477801902630106E-2</v>
      </c>
      <c r="H71" s="193">
        <f>+IF(ISNUMBER(VLOOKUP($B71,'Cental Budget - hwy'!$B$16:$AQ$90,H$1,FALSE)),VLOOKUP($B71,'Cental Budget - hwy'!$B$16:$AQ$90,H$1,FALSE),0)+IF(ISNUMBER(VLOOKUP($B71,#REF!,H$1,FALSE)),VLOOKUP($B71,#REF!,H$1,FALSE),0)</f>
        <v>2981267.98</v>
      </c>
      <c r="I71" s="101">
        <f t="shared" si="18"/>
        <v>9.6618744490536687E-2</v>
      </c>
      <c r="J71" s="193">
        <f>+IF(ISNUMBER(VLOOKUP($B71,'Cental Budget - hwy'!$B$16:$AQ$90,J$1,FALSE)),VLOOKUP($B71,'Cental Budget - hwy'!$B$16:$AQ$90,J$1,FALSE),0)+IF(ISNUMBER(VLOOKUP($B71,#REF!,J$1,FALSE)),VLOOKUP($B71,#REF!,J$1,FALSE),0)</f>
        <v>148637806.47</v>
      </c>
      <c r="K71" s="101">
        <f t="shared" si="19"/>
        <v>4.9861726424018791</v>
      </c>
      <c r="L71" s="193">
        <f>+IF(ISNUMBER(VLOOKUP($B71,'Cental Budget - hwy'!$B$16:$AQ$90,L$1,FALSE)),VLOOKUP($B71,'Cental Budget - hwy'!$B$16:$AQ$90,L$1,FALSE),0)+IF(ISNUMBER(VLOOKUP($B71,#REF!,L$1,FALSE)),VLOOKUP($B71,#REF!,L$1,FALSE),0)</f>
        <v>205658070.65000001</v>
      </c>
      <c r="M71" s="101">
        <f t="shared" si="14"/>
        <v>6.6255821730025772</v>
      </c>
      <c r="N71" s="193">
        <f>+IF(ISNUMBER(VLOOKUP($B71,'Cental Budget - hwy'!$B$16:$AQ$90,N$1,FALSE)),VLOOKUP($B71,'Cental Budget - hwy'!$B$16:$AQ$90,N$1,FALSE),0)+IF(ISNUMBER(VLOOKUP($B71,#REF!,N$1,FALSE)),VLOOKUP($B71,#REF!,N$1,FALSE),0)</f>
        <v>187652611.97999999</v>
      </c>
      <c r="O71" s="101">
        <f t="shared" si="5"/>
        <v>5.8024926400742114</v>
      </c>
      <c r="P71" s="193">
        <f>+IF(ISNUMBER(VLOOKUP($B71,'Cental Budget - hwy'!$B$16:$AQ$90,P$1,FALSE)),VLOOKUP($B71,'Cental Budget - hwy'!$B$16:$AQ$90,P$1,FALSE),0)+IF(ISNUMBER(VLOOKUP($B71,#REF!,P$1,FALSE)),VLOOKUP($B71,#REF!,P$1,FALSE),0)</f>
        <v>258129375.97</v>
      </c>
      <c r="Q71" s="101">
        <f t="shared" si="6"/>
        <v>8.1971856452842182</v>
      </c>
      <c r="R71" s="193">
        <f>+IF(ISNUMBER(VLOOKUP($B71,'Cental Budget - hwy'!$B$16:$AQ$90,R$1,FALSE)),VLOOKUP($B71,'Cental Budget - hwy'!$B$16:$AQ$90,R$1,FALSE),0)+IF(ISNUMBER(VLOOKUP($B71,#REF!,R$1,FALSE)),VLOOKUP($B71,#REF!,R$1,FALSE),0)</f>
        <v>230537476.81999999</v>
      </c>
      <c r="S71" s="101">
        <f t="shared" si="7"/>
        <v>6.910814396676539</v>
      </c>
      <c r="T71" s="193">
        <f>+IF(ISNUMBER(VLOOKUP($B71,'Cental Budget - hwy'!$B$16:$AQ$90,T$1,FALSE)),VLOOKUP($B71,'Cental Budget - hwy'!$B$16:$AQ$90,T$1,FALSE),0)+IF(ISNUMBER(VLOOKUP($B71,#REF!,T$1,FALSE)),VLOOKUP($B71,#REF!,T$1,FALSE),0)</f>
        <v>227975575.86282945</v>
      </c>
      <c r="U71" s="101">
        <f t="shared" si="8"/>
        <v>6.4836576693304764</v>
      </c>
      <c r="V71" s="192">
        <f>+IF(ISNUMBER(VLOOKUP($B71,'Cental Budget - hwy'!$B$16:$AQ$90,V$1,FALSE)),VLOOKUP($B71,'Cental Budget - hwy'!$B$16:$AQ$90,V$1,FALSE),0)+IF(ISNUMBER(VLOOKUP($B71,#REF!,V$1,FALSE)),VLOOKUP($B71,#REF!,V$1,FALSE),0)</f>
        <v>0</v>
      </c>
      <c r="W71" s="192">
        <f>+IF(ISNUMBER(VLOOKUP($B71,'Cental Budget - hwy'!$B$16:$AQ$90,W$1,FALSE)),VLOOKUP($B71,'Cental Budget - hwy'!$B$16:$AQ$90,W$1,FALSE),0)+IF(ISNUMBER(VLOOKUP($B71,#REF!,W$1,FALSE)),VLOOKUP($B71,#REF!,W$1,FALSE),0)</f>
        <v>0</v>
      </c>
      <c r="X71" s="193">
        <f>+IF(ISNUMBER(VLOOKUP($B71,'Cental Budget - hwy'!$B$16:$AQ$90,X$1,FALSE)),VLOOKUP($B71,'Cental Budget - hwy'!$B$16:$AQ$90,X$1,FALSE),0)+IF(ISNUMBER(VLOOKUP($B71,#REF!,X$1,FALSE)),VLOOKUP($B71,#REF!,X$1,FALSE),0)</f>
        <v>227975575.86282945</v>
      </c>
      <c r="Y71" s="101">
        <f t="shared" si="9"/>
        <v>6.4836576693304764</v>
      </c>
      <c r="Z71" s="193">
        <f>+IF(ISNUMBER(VLOOKUP($B71,'Cental Budget - hwy'!$B$16:$AQ$90,Z$1,FALSE)),VLOOKUP($B71,'Cental Budget - hwy'!$B$16:$AQ$90,Z$1,FALSE),0)+IF(ISNUMBER(VLOOKUP($B71,#REF!,Z$1,FALSE)),VLOOKUP($B71,#REF!,Z$1,FALSE),0)</f>
        <v>0</v>
      </c>
      <c r="AA71" s="101">
        <f t="shared" si="15"/>
        <v>0</v>
      </c>
      <c r="AB71" s="193">
        <f>+IF(ISNUMBER(VLOOKUP($B71,'Cental Budget - hwy'!$B$16:$AQ$90,AB$1,FALSE)),VLOOKUP($B71,'Cental Budget - hwy'!$B$16:$AQ$90,AB$1,FALSE),0)+IF(ISNUMBER(VLOOKUP($B71,#REF!,AB$1,FALSE)),VLOOKUP($B71,#REF!,AB$1,FALSE),0)</f>
        <v>438259410.7026937</v>
      </c>
      <c r="AC71" s="101">
        <f>+IF(ISNUMBER(VLOOKUP($B71,'Cental Budget - hwy'!$B$16:$AQ$90,AC$1,FALSE)),VLOOKUP($B71,'Cental Budget - hwy'!$B$16:$AQ$90,AC$1,FALSE),0)+IF(ISNUMBER(VLOOKUP($B71,#REF!,AC$1,FALSE)),VLOOKUP($B71,#REF!,AC$1,FALSE),0)</f>
        <v>11.806535680597072</v>
      </c>
      <c r="AD71" s="194">
        <f>+IF(ISNUMBER(VLOOKUP($B71,'Cental Budget - hwy'!$B$16:$AQ$90,AD$1,FALSE)),VLOOKUP($B71,'Cental Budget - hwy'!$B$16:$AQ$90,AD$1,FALSE),0)+IF(ISNUMBER(VLOOKUP($B71,#REF!,AD$1,FALSE)),VLOOKUP($B71,#REF!,AD$1,FALSE),0)</f>
        <v>0</v>
      </c>
      <c r="AE71" s="193">
        <f>+IF(ISNUMBER(VLOOKUP($B71,'Cental Budget - hwy'!$B$16:$AQ$90,AE$1,FALSE)),VLOOKUP($B71,'Cental Budget - hwy'!$B$16:$AQ$90,AE$1,FALSE),0)+IF(ISNUMBER(VLOOKUP($B71,#REF!,AE$1,FALSE)),VLOOKUP($B71,#REF!,AE$1,FALSE),0)</f>
        <v>606921532.81536603</v>
      </c>
      <c r="AF71" s="101">
        <f t="shared" si="11"/>
        <v>16.350226732195175</v>
      </c>
      <c r="AG71" s="193">
        <f>+IF(ISNUMBER(VLOOKUP($B71,'Cental Budget - hwy'!$B$16:$AQ$90,AG$1,FALSE)),VLOOKUP($B71,'Cental Budget - hwy'!$B$16:$AQ$90,AG$1,FALSE),0)+IF(ISNUMBER(VLOOKUP($B71,#REF!,AG$1,FALSE)),VLOOKUP($B71,#REF!,AG$1,FALSE),0)</f>
        <v>370788033.04426503</v>
      </c>
      <c r="AH71" s="101">
        <f>+IF(ISNUMBER(VLOOKUP($B71,'Cental Budget - hwy'!$B$16:$AQ$90,AH$1,FALSE)),VLOOKUP($B71,'Cental Budget - hwy'!$B$16:$AQ$90,AH$1,FALSE),0)+IF(ISNUMBER(VLOOKUP($B71,#REF!,AH$1,FALSE)),VLOOKUP($B71,#REF!,AH$1,FALSE),0)</f>
        <v>9.4345114816396531</v>
      </c>
      <c r="AI71" s="194">
        <f>+IF(ISNUMBER(VLOOKUP($B71,'Cental Budget - hwy'!$B$16:$AQ$90,AI$1,FALSE)),VLOOKUP($B71,'Cental Budget - hwy'!$B$16:$AQ$90,AI$1,FALSE),0)+IF(ISNUMBER(VLOOKUP($B71,#REF!,AI$1,FALSE)),VLOOKUP($B71,#REF!,AI$1,FALSE),0)</f>
        <v>0</v>
      </c>
      <c r="AJ71" s="193">
        <f>+IF(ISNUMBER(VLOOKUP($B71,'Cental Budget - hwy'!$B$16:$AQ$90,AJ$1,FALSE)),VLOOKUP($B71,'Cental Budget - hwy'!$B$16:$AQ$90,AJ$1,FALSE),0)+IF(ISNUMBER(VLOOKUP($B71,#REF!,AJ$1,FALSE)),VLOOKUP($B71,#REF!,AJ$1,FALSE),0)</f>
        <v>606504987.29418182</v>
      </c>
      <c r="AK71" s="101">
        <f t="shared" si="12"/>
        <v>15.432208583753196</v>
      </c>
      <c r="AL71" s="193">
        <f>+IF(ISNUMBER(VLOOKUP($B71,'Cental Budget - hwy'!$B$16:$AQ$90,AL$1,FALSE)),VLOOKUP($B71,'Cental Budget - hwy'!$B$16:$AQ$90,AL$1,FALSE),0)+IF(ISNUMBER(VLOOKUP($B71,#REF!,AL$1,FALSE)),VLOOKUP($B71,#REF!,AL$1,FALSE),0)</f>
        <v>405003401.36411858</v>
      </c>
      <c r="AM71" s="101">
        <f t="shared" si="13"/>
        <v>9.7144645494501383</v>
      </c>
      <c r="AO71" s="105"/>
      <c r="AP71" s="106"/>
      <c r="AQ71" s="106"/>
      <c r="AR71" s="106"/>
      <c r="AS71" s="106"/>
      <c r="AT71" s="107"/>
      <c r="AU71" s="81"/>
      <c r="AV71" s="81"/>
      <c r="AW71" s="81"/>
      <c r="AX71" s="81"/>
      <c r="AY71" s="81"/>
      <c r="AZ71" s="81"/>
      <c r="BA71" s="81"/>
      <c r="BB71" s="81"/>
      <c r="BC71" s="81"/>
      <c r="BD71" s="81"/>
      <c r="BE71" s="81"/>
      <c r="BF71" s="81"/>
      <c r="BG71" s="81"/>
      <c r="DS71" s="198"/>
      <c r="DT71" s="198"/>
      <c r="DU71" s="176"/>
      <c r="DV71" s="176"/>
      <c r="DW71" s="176"/>
      <c r="DX71" s="175"/>
    </row>
    <row r="72" spans="2:128" ht="13.5" customHeight="1">
      <c r="B72" s="80">
        <v>74</v>
      </c>
      <c r="C72" s="99" t="s">
        <v>123</v>
      </c>
      <c r="D72" s="193">
        <f>+IF(ISNUMBER(VLOOKUP($B72,'Cental Budget - hwy'!$B$16:$AQ$90,D$1,FALSE)),VLOOKUP($B72,'Cental Budget - hwy'!$B$16:$AQ$90,D$1,FALSE),0)+IF(ISNUMBER(VLOOKUP($B72,#REF!,D$1,FALSE)),VLOOKUP($B72,#REF!,D$1,FALSE),0)</f>
        <v>189875.77</v>
      </c>
      <c r="E72" s="101">
        <f t="shared" si="16"/>
        <v>8.8359518823584154E-3</v>
      </c>
      <c r="F72" s="193">
        <f>+IF(ISNUMBER(VLOOKUP($B72,'Cental Budget - hwy'!$B$16:$AQ$90,F$1,FALSE)),VLOOKUP($B72,'Cental Budget - hwy'!$B$16:$AQ$90,F$1,FALSE),0)+IF(ISNUMBER(VLOOKUP($B72,#REF!,F$1,FALSE)),VLOOKUP($B72,#REF!,F$1,FALSE),0)</f>
        <v>86112.85</v>
      </c>
      <c r="G72" s="101">
        <f t="shared" si="17"/>
        <v>3.2125666853199033E-3</v>
      </c>
      <c r="H72" s="193">
        <f>+IF(ISNUMBER(VLOOKUP($B72,'Cental Budget - hwy'!$B$16:$AQ$90,H$1,FALSE)),VLOOKUP($B72,'Cental Budget - hwy'!$B$16:$AQ$90,H$1,FALSE),0)+IF(ISNUMBER(VLOOKUP($B72,#REF!,H$1,FALSE)),VLOOKUP($B72,#REF!,H$1,FALSE),0)</f>
        <v>2235692.06</v>
      </c>
      <c r="I72" s="101">
        <f t="shared" si="18"/>
        <v>7.2455666969147001E-2</v>
      </c>
      <c r="J72" s="193">
        <f>+IF(ISNUMBER(VLOOKUP($B72,'Cental Budget - hwy'!$B$16:$AQ$90,J$1,FALSE)),VLOOKUP($B72,'Cental Budget - hwy'!$B$16:$AQ$90,J$1,FALSE),0)+IF(ISNUMBER(VLOOKUP($B72,#REF!,J$1,FALSE)),VLOOKUP($B72,#REF!,J$1,FALSE),0)</f>
        <v>6019555.9299999997</v>
      </c>
      <c r="K72" s="101">
        <f t="shared" si="19"/>
        <v>0.20193075914122777</v>
      </c>
      <c r="L72" s="193">
        <f>+IF(ISNUMBER(VLOOKUP($B72,'Cental Budget - hwy'!$B$16:$AQ$90,L$1,FALSE)),VLOOKUP($B72,'Cental Budget - hwy'!$B$16:$AQ$90,L$1,FALSE),0)+IF(ISNUMBER(VLOOKUP($B72,#REF!,L$1,FALSE)),VLOOKUP($B72,#REF!,L$1,FALSE),0)</f>
        <v>5128633.8</v>
      </c>
      <c r="M72" s="101">
        <f t="shared" si="14"/>
        <v>0.16522660438144329</v>
      </c>
      <c r="N72" s="193">
        <f>+IF(ISNUMBER(VLOOKUP($B72,'Cental Budget - hwy'!$B$16:$AQ$90,N$1,FALSE)),VLOOKUP($B72,'Cental Budget - hwy'!$B$16:$AQ$90,N$1,FALSE),0)+IF(ISNUMBER(VLOOKUP($B72,#REF!,N$1,FALSE)),VLOOKUP($B72,#REF!,N$1,FALSE),0)</f>
        <v>4014349.98</v>
      </c>
      <c r="O72" s="101">
        <f t="shared" si="5"/>
        <v>0.12412956029684601</v>
      </c>
      <c r="P72" s="193">
        <f>+IF(ISNUMBER(VLOOKUP($B72,'Cental Budget - hwy'!$B$16:$AQ$90,P$1,FALSE)),VLOOKUP($B72,'Cental Budget - hwy'!$B$16:$AQ$90,P$1,FALSE),0)+IF(ISNUMBER(VLOOKUP($B72,#REF!,P$1,FALSE)),VLOOKUP($B72,#REF!,P$1,FALSE),0)</f>
        <v>5037276.03</v>
      </c>
      <c r="Q72" s="101">
        <f t="shared" si="6"/>
        <v>0.15996430708161322</v>
      </c>
      <c r="R72" s="193">
        <f>+IF(ISNUMBER(VLOOKUP($B72,'Cental Budget - hwy'!$B$16:$AQ$90,R$1,FALSE)),VLOOKUP($B72,'Cental Budget - hwy'!$B$16:$AQ$90,R$1,FALSE),0)+IF(ISNUMBER(VLOOKUP($B72,#REF!,R$1,FALSE)),VLOOKUP($B72,#REF!,R$1,FALSE),0)</f>
        <v>6615451.54</v>
      </c>
      <c r="S72" s="101">
        <f t="shared" si="7"/>
        <v>0.19831117427750797</v>
      </c>
      <c r="T72" s="193">
        <f>+IF(ISNUMBER(VLOOKUP($B72,'Cental Budget - hwy'!$B$16:$AQ$90,T$1,FALSE)),VLOOKUP($B72,'Cental Budget - hwy'!$B$16:$AQ$90,T$1,FALSE),0)+IF(ISNUMBER(VLOOKUP($B72,#REF!,T$1,FALSE)),VLOOKUP($B72,#REF!,T$1,FALSE),0)</f>
        <v>8000000</v>
      </c>
      <c r="U72" s="101">
        <f t="shared" si="8"/>
        <v>0.22752113316670824</v>
      </c>
      <c r="V72" s="192">
        <f>+IF(ISNUMBER(VLOOKUP($B72,'Cental Budget - hwy'!$B$16:$AQ$90,V$1,FALSE)),VLOOKUP($B72,'Cental Budget - hwy'!$B$16:$AQ$90,V$1,FALSE),0)+IF(ISNUMBER(VLOOKUP($B72,#REF!,V$1,FALSE)),VLOOKUP($B72,#REF!,V$1,FALSE),0)</f>
        <v>0</v>
      </c>
      <c r="W72" s="192">
        <f>+IF(ISNUMBER(VLOOKUP($B72,'Cental Budget - hwy'!$B$16:$AQ$90,W$1,FALSE)),VLOOKUP($B72,'Cental Budget - hwy'!$B$16:$AQ$90,W$1,FALSE),0)+IF(ISNUMBER(VLOOKUP($B72,#REF!,W$1,FALSE)),VLOOKUP($B72,#REF!,W$1,FALSE),0)</f>
        <v>0</v>
      </c>
      <c r="X72" s="193">
        <f>+IF(ISNUMBER(VLOOKUP($B72,'Cental Budget - hwy'!$B$16:$AQ$90,X$1,FALSE)),VLOOKUP($B72,'Cental Budget - hwy'!$B$16:$AQ$90,X$1,FALSE),0)+IF(ISNUMBER(VLOOKUP($B72,#REF!,X$1,FALSE)),VLOOKUP($B72,#REF!,X$1,FALSE),0)</f>
        <v>0</v>
      </c>
      <c r="Y72" s="101">
        <f t="shared" si="9"/>
        <v>0</v>
      </c>
      <c r="Z72" s="193">
        <f>+IF(ISNUMBER(VLOOKUP($B72,'Cental Budget - hwy'!$B$16:$AQ$90,Z$1,FALSE)),VLOOKUP($B72,'Cental Budget - hwy'!$B$16:$AQ$90,Z$1,FALSE),0)+IF(ISNUMBER(VLOOKUP($B72,#REF!,Z$1,FALSE)),VLOOKUP($B72,#REF!,Z$1,FALSE),0)</f>
        <v>0</v>
      </c>
      <c r="AA72" s="101">
        <f t="shared" si="15"/>
        <v>0</v>
      </c>
      <c r="AB72" s="193">
        <f>+IF(ISNUMBER(VLOOKUP($B72,'Cental Budget - hwy'!$B$16:$AQ$90,AB$1,FALSE)),VLOOKUP($B72,'Cental Budget - hwy'!$B$16:$AQ$90,AB$1,FALSE),0)+IF(ISNUMBER(VLOOKUP($B72,#REF!,AB$1,FALSE)),VLOOKUP($B72,#REF!,AB$1,FALSE),0)</f>
        <v>0</v>
      </c>
      <c r="AC72" s="101">
        <f>+IF(ISNUMBER(VLOOKUP($B72,'Cental Budget - hwy'!$B$16:$AQ$90,AC$1,FALSE)),VLOOKUP($B72,'Cental Budget - hwy'!$B$16:$AQ$90,AC$1,FALSE),0)+IF(ISNUMBER(VLOOKUP($B72,#REF!,AC$1,FALSE)),VLOOKUP($B72,#REF!,AC$1,FALSE),0)</f>
        <v>0</v>
      </c>
      <c r="AD72" s="194">
        <f>+IF(ISNUMBER(VLOOKUP($B72,'Cental Budget - hwy'!$B$16:$AQ$90,AD$1,FALSE)),VLOOKUP($B72,'Cental Budget - hwy'!$B$16:$AQ$90,AD$1,FALSE),0)+IF(ISNUMBER(VLOOKUP($B72,#REF!,AD$1,FALSE)),VLOOKUP($B72,#REF!,AD$1,FALSE),0)</f>
        <v>0</v>
      </c>
      <c r="AE72" s="193">
        <f>+IF(ISNUMBER(VLOOKUP($B72,'Cental Budget - hwy'!$B$16:$AQ$90,AE$1,FALSE)),VLOOKUP($B72,'Cental Budget - hwy'!$B$16:$AQ$90,AE$1,FALSE),0)+IF(ISNUMBER(VLOOKUP($B72,#REF!,AE$1,FALSE)),VLOOKUP($B72,#REF!,AE$1,FALSE),0)</f>
        <v>0</v>
      </c>
      <c r="AF72" s="101">
        <f t="shared" si="11"/>
        <v>0</v>
      </c>
      <c r="AG72" s="193">
        <f>+IF(ISNUMBER(VLOOKUP($B72,'Cental Budget - hwy'!$B$16:$AQ$90,AG$1,FALSE)),VLOOKUP($B72,'Cental Budget - hwy'!$B$16:$AQ$90,AG$1,FALSE),0)+IF(ISNUMBER(VLOOKUP($B72,#REF!,AG$1,FALSE)),VLOOKUP($B72,#REF!,AG$1,FALSE),0)</f>
        <v>0</v>
      </c>
      <c r="AH72" s="101">
        <f>+IF(ISNUMBER(VLOOKUP($B72,'Cental Budget - hwy'!$B$16:$AQ$90,AH$1,FALSE)),VLOOKUP($B72,'Cental Budget - hwy'!$B$16:$AQ$90,AH$1,FALSE),0)+IF(ISNUMBER(VLOOKUP($B72,#REF!,AH$1,FALSE)),VLOOKUP($B72,#REF!,AH$1,FALSE),0)</f>
        <v>0</v>
      </c>
      <c r="AI72" s="194">
        <f>+IF(ISNUMBER(VLOOKUP($B72,'Cental Budget - hwy'!$B$16:$AQ$90,AI$1,FALSE)),VLOOKUP($B72,'Cental Budget - hwy'!$B$16:$AQ$90,AI$1,FALSE),0)+IF(ISNUMBER(VLOOKUP($B72,#REF!,AI$1,FALSE)),VLOOKUP($B72,#REF!,AI$1,FALSE),0)</f>
        <v>0</v>
      </c>
      <c r="AJ72" s="193">
        <f>+IF(ISNUMBER(VLOOKUP($B72,'Cental Budget - hwy'!$B$16:$AQ$90,AJ$1,FALSE)),VLOOKUP($B72,'Cental Budget - hwy'!$B$16:$AQ$90,AJ$1,FALSE),0)+IF(ISNUMBER(VLOOKUP($B72,#REF!,AJ$1,FALSE)),VLOOKUP($B72,#REF!,AJ$1,FALSE),0)</f>
        <v>0</v>
      </c>
      <c r="AK72" s="101">
        <f t="shared" si="12"/>
        <v>0</v>
      </c>
      <c r="AL72" s="193">
        <f>+IF(ISNUMBER(VLOOKUP($B72,'Cental Budget - hwy'!$B$16:$AQ$90,AL$1,FALSE)),VLOOKUP($B72,'Cental Budget - hwy'!$B$16:$AQ$90,AL$1,FALSE),0)+IF(ISNUMBER(VLOOKUP($B72,#REF!,AL$1,FALSE)),VLOOKUP($B72,#REF!,AL$1,FALSE),0)</f>
        <v>0</v>
      </c>
      <c r="AM72" s="101">
        <f t="shared" si="13"/>
        <v>0</v>
      </c>
      <c r="AO72" s="105"/>
      <c r="AP72" s="106"/>
      <c r="AQ72" s="106"/>
      <c r="AR72" s="106"/>
      <c r="AS72" s="106"/>
      <c r="AT72" s="107"/>
      <c r="AU72" s="81"/>
      <c r="AV72" s="81"/>
      <c r="AW72" s="81"/>
      <c r="AX72" s="81"/>
      <c r="AY72" s="81"/>
      <c r="AZ72" s="81"/>
      <c r="BA72" s="81"/>
      <c r="BB72" s="81"/>
      <c r="BC72" s="81"/>
      <c r="BD72" s="81"/>
      <c r="BE72" s="81"/>
      <c r="BF72" s="81"/>
      <c r="BG72" s="81"/>
      <c r="DS72" s="198"/>
      <c r="DT72" s="198"/>
      <c r="DU72" s="176"/>
      <c r="DV72" s="176"/>
      <c r="DW72" s="176"/>
      <c r="DX72" s="175"/>
    </row>
    <row r="73" spans="2:128" ht="13.5" customHeight="1" thickBot="1">
      <c r="B73" s="80">
        <v>72</v>
      </c>
      <c r="C73" s="113" t="s">
        <v>329</v>
      </c>
      <c r="D73" s="193">
        <f>+IF(ISNUMBER(VLOOKUP($B73,'Cental Budget - hwy'!$B$16:$AQ$90,D$1,FALSE)),VLOOKUP($B73,'Cental Budget - hwy'!$B$16:$AQ$90,D$1,FALSE),0)+IF(ISNUMBER(VLOOKUP($B73,#REF!,D$1,FALSE)),VLOOKUP($B73,#REF!,D$1,FALSE),0)</f>
        <v>20434516.259999998</v>
      </c>
      <c r="E73" s="115">
        <f t="shared" si="16"/>
        <v>0.95092913862906592</v>
      </c>
      <c r="F73" s="193">
        <f>+IF(ISNUMBER(VLOOKUP($B73,'Cental Budget - hwy'!$B$16:$AQ$90,F$1,FALSE)),VLOOKUP($B73,'Cental Budget - hwy'!$B$16:$AQ$90,F$1,FALSE),0)+IF(ISNUMBER(VLOOKUP($B73,#REF!,F$1,FALSE)),VLOOKUP($B73,#REF!,F$1,FALSE),0)</f>
        <v>27533307.520000003</v>
      </c>
      <c r="G73" s="115">
        <f t="shared" si="17"/>
        <v>1.0271705845924268</v>
      </c>
      <c r="H73" s="193">
        <f>+IF(ISNUMBER(VLOOKUP($B73,'Cental Budget - hwy'!$B$16:$AQ$90,H$1,FALSE)),VLOOKUP($B73,'Cental Budget - hwy'!$B$16:$AQ$90,H$1,FALSE),0)+IF(ISNUMBER(VLOOKUP($B73,#REF!,H$1,FALSE)),VLOOKUP($B73,#REF!,H$1,FALSE),0)</f>
        <v>24817482.77</v>
      </c>
      <c r="I73" s="115">
        <f t="shared" si="18"/>
        <v>0.80430006384495722</v>
      </c>
      <c r="J73" s="193">
        <f>+IF(ISNUMBER(VLOOKUP($B73,'Cental Budget - hwy'!$B$16:$AQ$90,J$1,FALSE)),VLOOKUP($B73,'Cental Budget - hwy'!$B$16:$AQ$90,J$1,FALSE),0)+IF(ISNUMBER(VLOOKUP($B73,#REF!,J$1,FALSE)),VLOOKUP($B73,#REF!,J$1,FALSE),0)</f>
        <v>107021361.98999999</v>
      </c>
      <c r="K73" s="115">
        <f t="shared" si="19"/>
        <v>3.5901161351895334</v>
      </c>
      <c r="L73" s="193">
        <f>+IF(ISNUMBER(VLOOKUP($B73,'Cental Budget - hwy'!$B$16:$AQ$90,L$1,FALSE)),VLOOKUP($B73,'Cental Budget - hwy'!$B$16:$AQ$90,L$1,FALSE),0)+IF(ISNUMBER(VLOOKUP($B73,#REF!,L$1,FALSE)),VLOOKUP($B73,#REF!,L$1,FALSE),0)</f>
        <v>2781826.52</v>
      </c>
      <c r="M73" s="115">
        <f t="shared" si="14"/>
        <v>8.9620699742268051E-2</v>
      </c>
      <c r="N73" s="193">
        <f>+IF(ISNUMBER(VLOOKUP($B73,'Cental Budget - hwy'!$B$16:$AQ$90,N$1,FALSE)),VLOOKUP($B73,'Cental Budget - hwy'!$B$16:$AQ$90,N$1,FALSE),0)+IF(ISNUMBER(VLOOKUP($B73,#REF!,N$1,FALSE)),VLOOKUP($B73,#REF!,N$1,FALSE),0)</f>
        <v>3351251.94</v>
      </c>
      <c r="O73" s="115">
        <f t="shared" si="5"/>
        <v>0.10362560111317255</v>
      </c>
      <c r="P73" s="193">
        <f>+IF(ISNUMBER(VLOOKUP($B73,'Cental Budget - hwy'!$B$16:$AQ$90,P$1,FALSE)),VLOOKUP($B73,'Cental Budget - hwy'!$B$16:$AQ$90,P$1,FALSE),0)+IF(ISNUMBER(VLOOKUP($B73,#REF!,P$1,FALSE)),VLOOKUP($B73,#REF!,P$1,FALSE),0)</f>
        <v>3484625.4</v>
      </c>
      <c r="Q73" s="115">
        <f t="shared" si="6"/>
        <v>0.11065815814544298</v>
      </c>
      <c r="R73" s="193">
        <f>+IF(ISNUMBER(VLOOKUP($B73,'Cental Budget - hwy'!$B$16:$AQ$90,R$1,FALSE)),VLOOKUP($B73,'Cental Budget - hwy'!$B$16:$AQ$90,R$1,FALSE),0)+IF(ISNUMBER(VLOOKUP($B73,#REF!,R$1,FALSE)),VLOOKUP($B73,#REF!,R$1,FALSE),0)</f>
        <v>11948846.35</v>
      </c>
      <c r="S73" s="115">
        <f t="shared" si="7"/>
        <v>0.35819017592410862</v>
      </c>
      <c r="T73" s="193">
        <f>+IF(ISNUMBER(VLOOKUP($B73,'Cental Budget - hwy'!$B$16:$AQ$90,T$1,FALSE)),VLOOKUP($B73,'Cental Budget - hwy'!$B$16:$AQ$90,T$1,FALSE),0)+IF(ISNUMBER(VLOOKUP($B73,#REF!,T$1,FALSE)),VLOOKUP($B73,#REF!,T$1,FALSE),0)</f>
        <v>5000000</v>
      </c>
      <c r="U73" s="115">
        <f t="shared" si="8"/>
        <v>0.14220070822919265</v>
      </c>
      <c r="V73" s="192">
        <f>+IF(ISNUMBER(VLOOKUP($B73,'Cental Budget - hwy'!$B$16:$AQ$90,V$1,FALSE)),VLOOKUP($B73,'Cental Budget - hwy'!$B$16:$AQ$90,V$1,FALSE),0)+IF(ISNUMBER(VLOOKUP($B73,#REF!,V$1,FALSE)),VLOOKUP($B73,#REF!,V$1,FALSE),0)</f>
        <v>0</v>
      </c>
      <c r="W73" s="192">
        <f>+IF(ISNUMBER(VLOOKUP($B73,'Cental Budget - hwy'!$B$16:$AQ$90,W$1,FALSE)),VLOOKUP($B73,'Cental Budget - hwy'!$B$16:$AQ$90,W$1,FALSE),0)+IF(ISNUMBER(VLOOKUP($B73,#REF!,W$1,FALSE)),VLOOKUP($B73,#REF!,W$1,FALSE),0)</f>
        <v>0</v>
      </c>
      <c r="X73" s="193">
        <f>+IF(ISNUMBER(VLOOKUP($B73,'Cental Budget - hwy'!$B$16:$AQ$90,X$1,FALSE)),VLOOKUP($B73,'Cental Budget - hwy'!$B$16:$AQ$90,X$1,FALSE),0)+IF(ISNUMBER(VLOOKUP($B73,#REF!,X$1,FALSE)),VLOOKUP($B73,#REF!,X$1,FALSE),0)</f>
        <v>5000000</v>
      </c>
      <c r="Y73" s="115">
        <f t="shared" si="9"/>
        <v>0.14220070822919265</v>
      </c>
      <c r="Z73" s="193">
        <f>+IF(ISNUMBER(VLOOKUP($B73,'Cental Budget - hwy'!$B$16:$AQ$90,Z$1,FALSE)),VLOOKUP($B73,'Cental Budget - hwy'!$B$16:$AQ$90,Z$1,FALSE),0)+IF(ISNUMBER(VLOOKUP($B73,#REF!,Z$1,FALSE)),VLOOKUP($B73,#REF!,Z$1,FALSE),0)</f>
        <v>0</v>
      </c>
      <c r="AA73" s="115">
        <f t="shared" si="15"/>
        <v>0</v>
      </c>
      <c r="AB73" s="191">
        <f>+IF(ISNUMBER(VLOOKUP($B73,'Cental Budget - hwy'!$B$16:$AQ$90,AB$1,FALSE)),VLOOKUP($B73,'Cental Budget - hwy'!$B$16:$AQ$90,AB$1,FALSE),0)+IF(ISNUMBER(VLOOKUP($B73,#REF!,AB$1,FALSE)),VLOOKUP($B73,#REF!,AB$1,FALSE),0)</f>
        <v>10000000</v>
      </c>
      <c r="AC73" s="115">
        <f>+IF(ISNUMBER(VLOOKUP($B73,'Cental Budget - hwy'!$B$16:$AQ$90,AC$1,FALSE)),VLOOKUP($B73,'Cental Budget - hwy'!$B$16:$AQ$90,AC$1,FALSE),0)+IF(ISNUMBER(VLOOKUP($B73,#REF!,AC$1,FALSE)),VLOOKUP($B73,#REF!,AC$1,FALSE),0)</f>
        <v>0.2693960561318417</v>
      </c>
      <c r="AD73" s="203">
        <f>+IF(ISNUMBER(VLOOKUP($B73,'Cental Budget - hwy'!$B$16:$AQ$90,AD$1,FALSE)),VLOOKUP($B73,'Cental Budget - hwy'!$B$16:$AQ$90,AD$1,FALSE),0)+IF(ISNUMBER(VLOOKUP($B73,#REF!,AD$1,FALSE)),VLOOKUP($B73,#REF!,AD$1,FALSE),0)</f>
        <v>0</v>
      </c>
      <c r="AE73" s="193">
        <f>+IF(ISNUMBER(VLOOKUP($B73,'Cental Budget - hwy'!$B$16:$AQ$90,AE$1,FALSE)),VLOOKUP($B73,'Cental Budget - hwy'!$B$16:$AQ$90,AE$1,FALSE),0)+IF(ISNUMBER(VLOOKUP($B73,#REF!,AE$1,FALSE)),VLOOKUP($B73,#REF!,AE$1,FALSE),0)</f>
        <v>0</v>
      </c>
      <c r="AF73" s="115">
        <f t="shared" si="11"/>
        <v>0</v>
      </c>
      <c r="AG73" s="191">
        <f>+IF(ISNUMBER(VLOOKUP($B73,'Cental Budget - hwy'!$B$16:$AQ$90,AG$1,FALSE)),VLOOKUP($B73,'Cental Budget - hwy'!$B$16:$AQ$90,AG$1,FALSE),0)+IF(ISNUMBER(VLOOKUP($B73,#REF!,AG$1,FALSE)),VLOOKUP($B73,#REF!,AG$1,FALSE),0)</f>
        <v>0</v>
      </c>
      <c r="AH73" s="115">
        <f>+IF(ISNUMBER(VLOOKUP($B73,'Cental Budget - hwy'!$B$16:$AQ$90,AH$1,FALSE)),VLOOKUP($B73,'Cental Budget - hwy'!$B$16:$AQ$90,AH$1,FALSE),0)+IF(ISNUMBER(VLOOKUP($B73,#REF!,AH$1,FALSE)),VLOOKUP($B73,#REF!,AH$1,FALSE),0)</f>
        <v>0</v>
      </c>
      <c r="AI73" s="203">
        <f>+IF(ISNUMBER(VLOOKUP($B73,'Cental Budget - hwy'!$B$16:$AQ$90,AI$1,FALSE)),VLOOKUP($B73,'Cental Budget - hwy'!$B$16:$AQ$90,AI$1,FALSE),0)+IF(ISNUMBER(VLOOKUP($B73,#REF!,AI$1,FALSE)),VLOOKUP($B73,#REF!,AI$1,FALSE),0)</f>
        <v>0</v>
      </c>
      <c r="AJ73" s="193">
        <f>+IF(ISNUMBER(VLOOKUP($B73,'Cental Budget - hwy'!$B$16:$AQ$90,AJ$1,FALSE)),VLOOKUP($B73,'Cental Budget - hwy'!$B$16:$AQ$90,AJ$1,FALSE),0)+IF(ISNUMBER(VLOOKUP($B73,#REF!,AJ$1,FALSE)),VLOOKUP($B73,#REF!,AJ$1,FALSE),0)</f>
        <v>0</v>
      </c>
      <c r="AK73" s="115">
        <f t="shared" si="12"/>
        <v>0</v>
      </c>
      <c r="AL73" s="193">
        <f>+IF(ISNUMBER(VLOOKUP($B73,'Cental Budget - hwy'!$B$16:$AQ$90,AL$1,FALSE)),VLOOKUP($B73,'Cental Budget - hwy'!$B$16:$AQ$90,AL$1,FALSE),0)+IF(ISNUMBER(VLOOKUP($B73,#REF!,AL$1,FALSE)),VLOOKUP($B73,#REF!,AL$1,FALSE),0)</f>
        <v>0</v>
      </c>
      <c r="AM73" s="115">
        <f t="shared" si="13"/>
        <v>0</v>
      </c>
      <c r="AO73" s="105"/>
      <c r="AP73" s="106"/>
      <c r="AQ73" s="106"/>
      <c r="AR73" s="106"/>
      <c r="AS73" s="106"/>
      <c r="AT73" s="107"/>
      <c r="AU73" s="81"/>
      <c r="AV73" s="81"/>
      <c r="AW73" s="81"/>
      <c r="AX73" s="81"/>
      <c r="AY73" s="81"/>
      <c r="AZ73" s="81"/>
      <c r="BA73" s="81"/>
      <c r="BB73" s="81"/>
      <c r="BC73" s="81"/>
      <c r="BD73" s="81"/>
      <c r="BE73" s="81"/>
      <c r="BF73" s="81"/>
      <c r="BG73" s="81"/>
      <c r="DS73" s="198"/>
      <c r="DT73" s="198"/>
      <c r="DU73" s="176"/>
      <c r="DV73" s="176"/>
      <c r="DW73" s="176"/>
      <c r="DX73" s="175"/>
    </row>
    <row r="74" spans="2:128" ht="13.5" customHeight="1" thickTop="1" thickBot="1">
      <c r="C74" s="181" t="s">
        <v>125</v>
      </c>
      <c r="D74" s="182">
        <f>-D68-SUM(D70:D73)</f>
        <v>-273376646.12999964</v>
      </c>
      <c r="E74" s="183">
        <f t="shared" si="16"/>
        <v>-12.721701620829245</v>
      </c>
      <c r="F74" s="182">
        <f>-F68-SUM(F70:F73)</f>
        <v>-352439937.67999995</v>
      </c>
      <c r="G74" s="183">
        <f t="shared" si="17"/>
        <v>-13.14829090393583</v>
      </c>
      <c r="H74" s="182">
        <f>-H68-SUM(H70:H73)</f>
        <v>-276487028.1499998</v>
      </c>
      <c r="I74" s="183">
        <f t="shared" si="18"/>
        <v>-8.960559636699502</v>
      </c>
      <c r="J74" s="182">
        <f>-J68-SUM(J70:J73)</f>
        <v>-528082914.4355002</v>
      </c>
      <c r="K74" s="183">
        <f t="shared" si="19"/>
        <v>-17.714958552012757</v>
      </c>
      <c r="L74" s="182">
        <f>-L68-SUM(L70:L73)</f>
        <v>-388329932.11000043</v>
      </c>
      <c r="M74" s="183">
        <f t="shared" si="14"/>
        <v>-12.510629256121147</v>
      </c>
      <c r="N74" s="182">
        <f>-N68-SUM(N70:N73)</f>
        <v>-403532731.39000016</v>
      </c>
      <c r="O74" s="183">
        <f t="shared" si="5"/>
        <v>-12.47782100773037</v>
      </c>
      <c r="P74" s="182">
        <f>-P68-SUM(P70:P73)</f>
        <v>-513857779.94999975</v>
      </c>
      <c r="Q74" s="183">
        <f t="shared" si="6"/>
        <v>-16.318125752619871</v>
      </c>
      <c r="R74" s="182">
        <f>-R68-SUM(R70:R73)</f>
        <v>-464806243.24708235</v>
      </c>
      <c r="S74" s="183">
        <f t="shared" si="7"/>
        <v>-13.93348153977195</v>
      </c>
      <c r="T74" s="182">
        <f>-T68-SUM(T70:T73)</f>
        <v>-498223398.9599998</v>
      </c>
      <c r="U74" s="183">
        <f t="shared" si="8"/>
        <v>-14.169544037693516</v>
      </c>
      <c r="V74" s="204"/>
      <c r="W74" s="204"/>
      <c r="X74" s="182">
        <f>-X68-SUM(X70:X73)</f>
        <v>807986201.73717046</v>
      </c>
      <c r="Y74" s="183">
        <f t="shared" si="9"/>
        <v>22.979242025288194</v>
      </c>
      <c r="Z74" s="182">
        <f>-Z68-SUM(Z70:Z73)</f>
        <v>0</v>
      </c>
      <c r="AA74" s="183">
        <f t="shared" si="15"/>
        <v>0</v>
      </c>
      <c r="AB74" s="182">
        <f>-AB68-SUM(AB70:AB73)</f>
        <v>703555968.18134785</v>
      </c>
      <c r="AC74" s="183">
        <f>AB74/AB$11*100</f>
        <v>18.953520309607459</v>
      </c>
      <c r="AD74" s="201"/>
      <c r="AE74" s="182">
        <f>-AE68-SUM(AE70:AE73)</f>
        <v>823866357.87757063</v>
      </c>
      <c r="AF74" s="183">
        <f t="shared" si="11"/>
        <v>22.194634759192201</v>
      </c>
      <c r="AG74" s="182">
        <f>-AG68-SUM(AG70:AG73)</f>
        <v>0</v>
      </c>
      <c r="AH74" s="183">
        <f>AG74/AG$11*100</f>
        <v>0</v>
      </c>
      <c r="AI74" s="201"/>
      <c r="AJ74" s="182" t="e">
        <f>-AJ68-SUM(AJ70:AJ73)</f>
        <v>#REF!</v>
      </c>
      <c r="AK74" s="183" t="e">
        <f t="shared" si="12"/>
        <v>#REF!</v>
      </c>
      <c r="AL74" s="182" t="e">
        <f>-AL68-SUM(AL70:AL73)</f>
        <v>#REF!</v>
      </c>
      <c r="AM74" s="183" t="e">
        <f t="shared" si="13"/>
        <v>#REF!</v>
      </c>
      <c r="AO74" s="105"/>
      <c r="AP74" s="106"/>
      <c r="AQ74" s="106"/>
      <c r="AR74" s="106"/>
      <c r="AS74" s="106"/>
      <c r="AT74" s="107"/>
      <c r="AU74" s="81"/>
      <c r="AV74" s="81"/>
      <c r="AW74" s="81"/>
      <c r="AX74" s="81"/>
      <c r="AY74" s="81"/>
      <c r="AZ74" s="81"/>
      <c r="BA74" s="81"/>
      <c r="BB74" s="81"/>
      <c r="BC74" s="81"/>
      <c r="BD74" s="81"/>
      <c r="BE74" s="81"/>
      <c r="BF74" s="81"/>
      <c r="BG74" s="81"/>
      <c r="DS74" s="198"/>
      <c r="DT74" s="198"/>
      <c r="DU74" s="176"/>
      <c r="DV74" s="176"/>
      <c r="DW74" s="176"/>
      <c r="DX74" s="175"/>
    </row>
    <row r="75" spans="2:128" ht="13.5" thickTop="1">
      <c r="C75" s="117" t="str">
        <f>IF(MasterSheet!$A$1=1,MasterSheet!C151,MasterSheet!B151)</f>
        <v>Izvor: Ministarstvo finansija Crne Gore</v>
      </c>
      <c r="D75" s="118"/>
      <c r="E75" s="118"/>
      <c r="F75" s="118"/>
      <c r="G75" s="118"/>
      <c r="H75" s="118"/>
      <c r="I75" s="118"/>
      <c r="J75" s="118"/>
      <c r="K75" s="118"/>
      <c r="L75" s="118"/>
      <c r="M75" s="118"/>
      <c r="N75" s="118"/>
      <c r="O75" s="118"/>
      <c r="Q75" s="81"/>
      <c r="R75" s="81"/>
      <c r="S75" s="81"/>
      <c r="AR75" s="81"/>
      <c r="AS75" s="81"/>
      <c r="AT75" s="160"/>
      <c r="AU75" s="81"/>
      <c r="AV75" s="81"/>
      <c r="AW75" s="81"/>
      <c r="AX75" s="81"/>
      <c r="AY75" s="81"/>
      <c r="AZ75" s="81"/>
      <c r="BA75" s="81"/>
      <c r="BB75" s="81"/>
      <c r="BC75" s="81"/>
      <c r="BD75" s="81"/>
      <c r="BE75" s="81"/>
      <c r="BF75" s="81"/>
      <c r="BG75" s="81"/>
    </row>
    <row r="76" spans="2:128">
      <c r="C76" s="116"/>
      <c r="D76" s="116"/>
      <c r="E76" s="116"/>
      <c r="F76" s="116"/>
      <c r="G76" s="116"/>
      <c r="H76" s="116"/>
      <c r="I76" s="116"/>
      <c r="J76" s="116"/>
      <c r="K76" s="116"/>
      <c r="L76" s="116"/>
      <c r="M76" s="116"/>
      <c r="N76" s="116"/>
      <c r="O76" s="116"/>
      <c r="Q76" s="81"/>
      <c r="R76" s="81"/>
      <c r="S76" s="81"/>
      <c r="T76" s="81"/>
      <c r="U76" s="81"/>
      <c r="V76" s="81"/>
      <c r="W76" s="81"/>
      <c r="X76" s="81"/>
      <c r="Y76" s="81"/>
      <c r="Z76" s="81"/>
      <c r="AA76" s="81"/>
      <c r="AB76" s="81"/>
      <c r="AR76" s="81"/>
      <c r="AS76" s="81"/>
      <c r="AT76" s="160"/>
      <c r="AU76" s="81"/>
      <c r="AV76" s="81"/>
      <c r="AW76" s="81"/>
      <c r="AX76" s="81"/>
      <c r="AY76" s="81"/>
      <c r="AZ76" s="81"/>
      <c r="BA76" s="81"/>
      <c r="BB76" s="81"/>
      <c r="BC76" s="81"/>
      <c r="BD76" s="81"/>
      <c r="BE76" s="81"/>
      <c r="BF76" s="81"/>
      <c r="BG76" s="81"/>
    </row>
    <row r="77" spans="2:128">
      <c r="D77" s="161"/>
      <c r="E77" s="162"/>
      <c r="F77" s="162"/>
      <c r="G77" s="162"/>
      <c r="H77" s="162"/>
      <c r="I77" s="162"/>
      <c r="J77" s="162"/>
      <c r="K77" s="162"/>
      <c r="L77" s="162"/>
      <c r="M77" s="162"/>
      <c r="N77" s="162"/>
      <c r="O77" s="116"/>
      <c r="R77" s="80" t="e">
        <f>+'Cental Budget - hwy'!R49+#REF!</f>
        <v>#REF!</v>
      </c>
      <c r="T77" s="80" t="e">
        <f>+'Cental Budget - hwy'!T49+#REF!</f>
        <v>#REF!</v>
      </c>
      <c r="X77" s="80" t="e">
        <f>+'Cental Budget - hwy'!Z49+#REF!</f>
        <v>#REF!</v>
      </c>
      <c r="AE77" s="80" t="e">
        <f>+'Cental Budget - hwy'!AG49+#REF!</f>
        <v>#REF!</v>
      </c>
      <c r="AJ77" s="80" t="e">
        <f>+'Cental Budget - hwy'!AL49+#REF!</f>
        <v>#REF!</v>
      </c>
      <c r="AL77" s="80" t="e">
        <f>+'Cental Budget - hwy'!AN49+#REF!</f>
        <v>#REF!</v>
      </c>
    </row>
    <row r="78" spans="2:128">
      <c r="C78" s="80" t="s">
        <v>457</v>
      </c>
      <c r="D78" s="161"/>
      <c r="E78" s="162"/>
      <c r="F78" s="162"/>
      <c r="G78" s="162"/>
      <c r="H78" s="162"/>
      <c r="I78" s="162"/>
      <c r="J78" s="162"/>
      <c r="K78" s="162"/>
      <c r="L78" s="162"/>
      <c r="M78" s="162"/>
      <c r="N78" s="162"/>
      <c r="O78" s="116"/>
      <c r="R78" s="111">
        <f>+R35</f>
        <v>880499234.78291774</v>
      </c>
      <c r="T78" s="111">
        <f>+T35</f>
        <v>839381670.8499999</v>
      </c>
      <c r="X78" s="111">
        <f>+X35</f>
        <v>869534872.1099999</v>
      </c>
      <c r="AE78" s="111">
        <f>+AE35</f>
        <v>977926941.85293674</v>
      </c>
      <c r="AJ78" s="111" t="e">
        <f>+AJ35</f>
        <v>#REF!</v>
      </c>
      <c r="AL78" s="111" t="e">
        <f>+AL35</f>
        <v>#REF!</v>
      </c>
    </row>
    <row r="79" spans="2:128">
      <c r="C79" s="162" t="s">
        <v>458</v>
      </c>
      <c r="D79" s="162"/>
      <c r="E79" s="162"/>
      <c r="F79" s="162"/>
      <c r="G79" s="162"/>
      <c r="H79" s="162"/>
      <c r="I79" s="162"/>
      <c r="J79" s="162"/>
      <c r="K79" s="162"/>
      <c r="L79" s="162"/>
      <c r="M79" s="162"/>
      <c r="N79" s="162"/>
      <c r="O79" s="116"/>
      <c r="R79" s="193" t="e">
        <f>+R77-R78</f>
        <v>#REF!</v>
      </c>
      <c r="T79" s="193" t="e">
        <f>+T77-T78</f>
        <v>#REF!</v>
      </c>
      <c r="X79" s="193" t="e">
        <f>+X77-X78</f>
        <v>#REF!</v>
      </c>
      <c r="AE79" s="193" t="e">
        <f>+AE77-AE78</f>
        <v>#REF!</v>
      </c>
      <c r="AJ79" s="193" t="e">
        <f>+AJ77-AJ78</f>
        <v>#REF!</v>
      </c>
      <c r="AL79" s="193" t="e">
        <f>+AL77-AL78</f>
        <v>#REF!</v>
      </c>
    </row>
    <row r="80" spans="2:128">
      <c r="E80" s="162"/>
      <c r="F80" s="162"/>
      <c r="G80" s="162"/>
      <c r="H80" s="162"/>
      <c r="I80" s="162"/>
      <c r="J80" s="162"/>
      <c r="K80" s="162"/>
      <c r="L80" s="162"/>
      <c r="M80" s="162"/>
      <c r="N80" s="162"/>
      <c r="O80" s="116"/>
      <c r="X80" s="111"/>
      <c r="Y80" s="105"/>
      <c r="Z80" s="105"/>
      <c r="AA80" s="105"/>
      <c r="AE80" s="111"/>
      <c r="AF80" s="105"/>
    </row>
    <row r="81" spans="3:38">
      <c r="E81" s="162"/>
      <c r="F81" s="162"/>
      <c r="G81" s="162"/>
      <c r="H81" s="162"/>
      <c r="I81" s="162"/>
      <c r="J81" s="162"/>
      <c r="K81" s="162"/>
      <c r="L81" s="162"/>
      <c r="M81" s="162"/>
      <c r="N81" s="162"/>
      <c r="O81" s="116"/>
    </row>
    <row r="82" spans="3:38">
      <c r="C82" s="80" t="s">
        <v>459</v>
      </c>
      <c r="E82" s="162"/>
      <c r="F82" s="162"/>
      <c r="G82" s="162"/>
      <c r="H82" s="162"/>
      <c r="I82" s="162"/>
      <c r="J82" s="162"/>
      <c r="K82" s="162"/>
      <c r="L82" s="162"/>
      <c r="M82" s="162"/>
      <c r="N82" s="162"/>
      <c r="O82" s="116"/>
      <c r="R82" s="80" t="e">
        <f>+'Cental Budget - hwy'!R76+#REF!</f>
        <v>#REF!</v>
      </c>
      <c r="T82" s="80" t="e">
        <f>+'Cental Budget - hwy'!T76+#REF!</f>
        <v>#REF!</v>
      </c>
      <c r="X82" s="80" t="e">
        <f>+'Cental Budget - hwy'!Z76+#REF!</f>
        <v>#REF!</v>
      </c>
      <c r="AE82" s="80" t="e">
        <f>+'Cental Budget - hwy'!AG76+#REF!</f>
        <v>#REF!</v>
      </c>
      <c r="AJ82" s="80" t="e">
        <f>+'Cental Budget - hwy'!AL76+#REF!</f>
        <v>#REF!</v>
      </c>
      <c r="AL82" s="80" t="e">
        <f>+'Cental Budget - hwy'!AN76+#REF!</f>
        <v>#REF!</v>
      </c>
    </row>
    <row r="83" spans="3:38">
      <c r="E83" s="162"/>
      <c r="F83" s="162"/>
      <c r="G83" s="162"/>
      <c r="H83" s="162"/>
      <c r="I83" s="162"/>
      <c r="J83" s="162"/>
      <c r="K83" s="162"/>
      <c r="L83" s="162"/>
      <c r="M83" s="162"/>
      <c r="N83" s="162"/>
      <c r="O83" s="116"/>
      <c r="R83" s="111">
        <f>+R62</f>
        <v>354647144.69708228</v>
      </c>
      <c r="T83" s="111">
        <f>+T62</f>
        <v>428674728.58717036</v>
      </c>
      <c r="X83" s="111">
        <f>+X62</f>
        <v>-869534872.1099999</v>
      </c>
      <c r="AE83" s="111">
        <f>+AE62</f>
        <v>-977926941.85293674</v>
      </c>
      <c r="AJ83" s="111" t="e">
        <f>+AJ62</f>
        <v>#REF!</v>
      </c>
      <c r="AL83" s="111" t="e">
        <f>+AL62</f>
        <v>#REF!</v>
      </c>
    </row>
    <row r="84" spans="3:38">
      <c r="E84" s="162"/>
      <c r="F84" s="162"/>
      <c r="G84" s="162"/>
      <c r="H84" s="162"/>
      <c r="I84" s="162"/>
      <c r="J84" s="162"/>
      <c r="K84" s="162"/>
      <c r="L84" s="162"/>
      <c r="M84" s="162"/>
      <c r="N84" s="162"/>
      <c r="O84" s="116"/>
      <c r="R84" s="193" t="e">
        <f>+R82-R83</f>
        <v>#REF!</v>
      </c>
      <c r="T84" s="193" t="e">
        <f>+T82-T83</f>
        <v>#REF!</v>
      </c>
      <c r="X84" s="193" t="e">
        <f>+X82-X83</f>
        <v>#REF!</v>
      </c>
      <c r="AE84" s="193" t="e">
        <f>+AE82-AE83</f>
        <v>#REF!</v>
      </c>
      <c r="AJ84" s="248" t="e">
        <f>+AJ82-AJ83</f>
        <v>#REF!</v>
      </c>
      <c r="AK84" s="105"/>
      <c r="AL84" s="248" t="e">
        <f>+AL82-AL83</f>
        <v>#REF!</v>
      </c>
    </row>
    <row r="85" spans="3:38">
      <c r="E85" s="162"/>
      <c r="F85" s="162"/>
      <c r="G85" s="162"/>
      <c r="H85" s="162"/>
      <c r="I85" s="162"/>
      <c r="J85" s="162"/>
      <c r="K85" s="162"/>
      <c r="L85" s="162"/>
      <c r="M85" s="162"/>
      <c r="N85" s="162"/>
      <c r="O85" s="116"/>
    </row>
    <row r="86" spans="3:38">
      <c r="E86" s="162"/>
      <c r="F86" s="162"/>
      <c r="G86" s="162"/>
      <c r="H86" s="162"/>
      <c r="I86" s="162"/>
      <c r="J86" s="162"/>
      <c r="K86" s="162"/>
      <c r="L86" s="162"/>
      <c r="M86" s="162"/>
      <c r="N86" s="162"/>
      <c r="O86" s="116"/>
    </row>
    <row r="87" spans="3:38">
      <c r="E87" s="162"/>
      <c r="F87" s="162"/>
      <c r="G87" s="162"/>
      <c r="H87" s="162"/>
      <c r="I87" s="162"/>
      <c r="J87" s="162"/>
      <c r="K87" s="162"/>
      <c r="L87" s="162"/>
      <c r="M87" s="162"/>
      <c r="N87" s="162"/>
      <c r="O87" s="116"/>
    </row>
    <row r="88" spans="3:38">
      <c r="E88" s="162"/>
      <c r="F88" s="162"/>
      <c r="G88" s="162"/>
      <c r="H88" s="162"/>
      <c r="I88" s="162"/>
      <c r="J88" s="162"/>
      <c r="K88" s="162"/>
      <c r="L88" s="162"/>
      <c r="M88" s="162"/>
      <c r="N88" s="162"/>
      <c r="O88" s="116"/>
    </row>
    <row r="89" spans="3:38">
      <c r="E89" s="162"/>
      <c r="F89" s="162"/>
      <c r="G89" s="162"/>
      <c r="H89" s="162"/>
      <c r="I89" s="162"/>
      <c r="J89" s="162"/>
      <c r="K89" s="162"/>
      <c r="L89" s="162"/>
      <c r="M89" s="162"/>
      <c r="N89" s="162"/>
      <c r="O89" s="116"/>
    </row>
    <row r="90" spans="3:38">
      <c r="E90" s="162"/>
      <c r="F90" s="162"/>
      <c r="G90" s="162"/>
      <c r="H90" s="162"/>
      <c r="I90" s="162"/>
      <c r="J90" s="162"/>
      <c r="K90" s="162"/>
      <c r="L90" s="162"/>
      <c r="M90" s="162"/>
      <c r="N90" s="162"/>
      <c r="O90" s="116"/>
    </row>
    <row r="91" spans="3:38">
      <c r="E91" s="162"/>
      <c r="F91" s="162"/>
      <c r="G91" s="162"/>
      <c r="H91" s="162"/>
      <c r="I91" s="162"/>
      <c r="J91" s="162"/>
      <c r="K91" s="162"/>
      <c r="L91" s="162"/>
      <c r="M91" s="162"/>
      <c r="N91" s="162"/>
      <c r="O91" s="116"/>
    </row>
    <row r="92" spans="3:38">
      <c r="E92" s="162"/>
      <c r="F92" s="162"/>
      <c r="G92" s="162"/>
      <c r="H92" s="162"/>
      <c r="I92" s="162"/>
      <c r="J92" s="162"/>
      <c r="K92" s="162"/>
      <c r="L92" s="162"/>
      <c r="M92" s="162"/>
      <c r="N92" s="162"/>
      <c r="O92" s="116"/>
    </row>
    <row r="93" spans="3:38" ht="13.5" thickBot="1">
      <c r="E93" s="162"/>
      <c r="F93" s="162"/>
      <c r="G93" s="162"/>
      <c r="H93" s="162"/>
      <c r="I93" s="162"/>
      <c r="J93" s="162"/>
      <c r="K93" s="162"/>
      <c r="L93" s="162"/>
      <c r="M93" s="162"/>
      <c r="N93" s="162"/>
      <c r="O93" s="116"/>
      <c r="R93" s="81"/>
      <c r="S93" s="81"/>
    </row>
    <row r="94" spans="3:38" ht="21" thickBot="1">
      <c r="C94" s="179">
        <v>166553072.60000002</v>
      </c>
      <c r="E94" s="162"/>
      <c r="F94" s="162"/>
      <c r="G94" s="162"/>
      <c r="H94" s="162"/>
      <c r="I94" s="162"/>
      <c r="J94" s="162"/>
      <c r="K94" s="162"/>
      <c r="L94" s="162"/>
      <c r="M94" s="162"/>
      <c r="N94" s="162"/>
      <c r="O94" s="116"/>
      <c r="R94" s="215"/>
      <c r="S94" s="81"/>
    </row>
    <row r="95" spans="3:38" ht="21" thickBot="1">
      <c r="C95" s="179">
        <v>442860948.83999997</v>
      </c>
      <c r="E95" s="162"/>
      <c r="F95" s="162"/>
      <c r="G95" s="162"/>
      <c r="H95" s="162"/>
      <c r="I95" s="162"/>
      <c r="J95" s="162"/>
      <c r="K95" s="162"/>
      <c r="L95" s="162"/>
      <c r="M95" s="162"/>
      <c r="N95" s="162"/>
      <c r="O95" s="116"/>
      <c r="R95" s="81"/>
      <c r="S95" s="81"/>
    </row>
    <row r="96" spans="3:38" ht="21" thickBot="1">
      <c r="C96" s="179">
        <v>405003981.30000001</v>
      </c>
    </row>
    <row r="97" spans="3:3" ht="21" thickBot="1">
      <c r="C97" s="179">
        <v>173837481.49000001</v>
      </c>
    </row>
  </sheetData>
  <sheetProtection formatCells="0" formatColumns="0" formatRows="0" sort="0" autoFilter="0"/>
  <mergeCells count="40">
    <mergeCell ref="AL14:AM14"/>
    <mergeCell ref="P14:Q14"/>
    <mergeCell ref="R14:S14"/>
    <mergeCell ref="T14:U14"/>
    <mergeCell ref="V14:W15"/>
    <mergeCell ref="X14:Y14"/>
    <mergeCell ref="AB14:AC14"/>
    <mergeCell ref="AD14:AD15"/>
    <mergeCell ref="AE14:AF14"/>
    <mergeCell ref="AG14:AH14"/>
    <mergeCell ref="AI14:AI15"/>
    <mergeCell ref="AJ14:AK14"/>
    <mergeCell ref="Z14:AA14"/>
    <mergeCell ref="N13:O13"/>
    <mergeCell ref="C14:C15"/>
    <mergeCell ref="D14:E14"/>
    <mergeCell ref="F14:G14"/>
    <mergeCell ref="H14:I14"/>
    <mergeCell ref="J14:K14"/>
    <mergeCell ref="L14:M14"/>
    <mergeCell ref="N14:O14"/>
    <mergeCell ref="AE11:AF11"/>
    <mergeCell ref="AG11:AH11"/>
    <mergeCell ref="AJ11:AK11"/>
    <mergeCell ref="AL11:AM11"/>
    <mergeCell ref="P12:Q13"/>
    <mergeCell ref="R12:S13"/>
    <mergeCell ref="P11:Q11"/>
    <mergeCell ref="R11:S11"/>
    <mergeCell ref="T11:U11"/>
    <mergeCell ref="V11:W11"/>
    <mergeCell ref="X11:Y11"/>
    <mergeCell ref="AB11:AC11"/>
    <mergeCell ref="Z11:AA11"/>
    <mergeCell ref="N11:O11"/>
    <mergeCell ref="D11:E11"/>
    <mergeCell ref="F11:G11"/>
    <mergeCell ref="H11:I11"/>
    <mergeCell ref="J11:K11"/>
    <mergeCell ref="L11:M11"/>
  </mergeCells>
  <printOptions horizontalCentered="1" verticalCentered="1"/>
  <pageMargins left="0" right="0" top="0.19685039370078741" bottom="0.19685039370078741" header="0" footer="0"/>
  <pageSetup paperSize="9" scale="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List Box 1">
              <controlPr defaultSize="0" autoLine="0" autoPict="0">
                <anchor moveWithCells="1">
                  <from>
                    <xdr:col>0</xdr:col>
                    <xdr:colOff>9525</xdr:colOff>
                    <xdr:row>0</xdr:row>
                    <xdr:rowOff>0</xdr:rowOff>
                  </from>
                  <to>
                    <xdr:col>2</xdr:col>
                    <xdr:colOff>1247775</xdr:colOff>
                    <xdr:row>9</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2:G59"/>
  <sheetViews>
    <sheetView topLeftCell="A4" workbookViewId="0">
      <selection activeCell="F5" sqref="F5"/>
    </sheetView>
  </sheetViews>
  <sheetFormatPr defaultRowHeight="15"/>
  <cols>
    <col min="1" max="2" width="9.140625" style="29"/>
    <col min="3" max="3" width="51.7109375" style="29" bestFit="1" customWidth="1"/>
    <col min="4" max="4" width="15.42578125" style="29" bestFit="1" customWidth="1"/>
    <col min="5" max="5" width="9.140625" style="29"/>
    <col min="6" max="6" width="15.5703125" style="29" bestFit="1" customWidth="1"/>
    <col min="7" max="7" width="15.42578125" style="29" bestFit="1" customWidth="1"/>
    <col min="8" max="16384" width="9.140625" style="29"/>
  </cols>
  <sheetData>
    <row r="2" spans="2:7" ht="15.75" thickBot="1">
      <c r="D2" s="245" t="s">
        <v>455</v>
      </c>
    </row>
    <row r="3" spans="2:7" ht="55.5" thickTop="1" thickBot="1">
      <c r="B3" s="30" t="s">
        <v>394</v>
      </c>
      <c r="C3" s="31" t="s">
        <v>395</v>
      </c>
      <c r="D3" s="32" t="s">
        <v>396</v>
      </c>
      <c r="G3" s="29" t="s">
        <v>397</v>
      </c>
    </row>
    <row r="4" spans="2:7" ht="16.5" thickTop="1" thickBot="1">
      <c r="B4" s="33">
        <v>7</v>
      </c>
      <c r="C4" s="34" t="s">
        <v>398</v>
      </c>
      <c r="D4" s="35" t="e">
        <f>+D5+D36+D55+D52+D44</f>
        <v>#REF!</v>
      </c>
      <c r="F4" s="70" t="e">
        <f>+'Cental Budget - hwy'!AG16+'Cental Budget - hwy'!AG84+'Cental Budget - hwy'!AG85+'Cental Budget - hwy'!AG48+'Cental Budget - hwy'!AG86</f>
        <v>#REF!</v>
      </c>
      <c r="G4" s="36" t="e">
        <f>+D4-F4</f>
        <v>#REF!</v>
      </c>
    </row>
    <row r="5" spans="2:7" ht="15.75" thickTop="1">
      <c r="B5" s="37">
        <v>71</v>
      </c>
      <c r="C5" s="38" t="s">
        <v>399</v>
      </c>
      <c r="D5" s="39" t="e">
        <f>+D6+D14+D19+D24+D31</f>
        <v>#REF!</v>
      </c>
      <c r="F5" s="40"/>
    </row>
    <row r="6" spans="2:7">
      <c r="B6" s="41">
        <v>711</v>
      </c>
      <c r="C6" s="42" t="s">
        <v>2</v>
      </c>
      <c r="D6" s="43" t="e">
        <f>SUM(D7:D13)</f>
        <v>#REF!</v>
      </c>
    </row>
    <row r="7" spans="2:7">
      <c r="B7" s="44">
        <v>7111</v>
      </c>
      <c r="C7" s="45" t="s">
        <v>3</v>
      </c>
      <c r="D7" s="46" t="e">
        <f>+'Cental Budget - hwy'!AG18</f>
        <v>#REF!</v>
      </c>
      <c r="E7" s="40"/>
    </row>
    <row r="8" spans="2:7">
      <c r="B8" s="44">
        <v>7112</v>
      </c>
      <c r="C8" s="45" t="s">
        <v>5</v>
      </c>
      <c r="D8" s="46" t="e">
        <f>+'Cental Budget - hwy'!AG19</f>
        <v>#REF!</v>
      </c>
    </row>
    <row r="9" spans="2:7">
      <c r="B9" s="44">
        <v>7113</v>
      </c>
      <c r="C9" s="45" t="s">
        <v>305</v>
      </c>
      <c r="D9" s="46" t="e">
        <f>+'Cental Budget - hwy'!AG20</f>
        <v>#REF!</v>
      </c>
    </row>
    <row r="10" spans="2:7">
      <c r="B10" s="44">
        <v>7114</v>
      </c>
      <c r="C10" s="45" t="s">
        <v>9</v>
      </c>
      <c r="D10" s="46" t="e">
        <f>+'Cental Budget - hwy'!AG21</f>
        <v>#REF!</v>
      </c>
    </row>
    <row r="11" spans="2:7">
      <c r="B11" s="44">
        <v>7115</v>
      </c>
      <c r="C11" s="45" t="s">
        <v>306</v>
      </c>
      <c r="D11" s="46" t="e">
        <f>+'Cental Budget - hwy'!AG22</f>
        <v>#REF!</v>
      </c>
    </row>
    <row r="12" spans="2:7">
      <c r="B12" s="44">
        <v>7116</v>
      </c>
      <c r="C12" s="45" t="s">
        <v>14</v>
      </c>
      <c r="D12" s="46" t="e">
        <f>+'Cental Budget - hwy'!AG23</f>
        <v>#REF!</v>
      </c>
    </row>
    <row r="13" spans="2:7">
      <c r="B13" s="44">
        <v>7118</v>
      </c>
      <c r="C13" s="45" t="s">
        <v>16</v>
      </c>
      <c r="D13" s="46" t="e">
        <f>+'Cental Budget - hwy'!AG24</f>
        <v>#REF!</v>
      </c>
    </row>
    <row r="14" spans="2:7">
      <c r="B14" s="41">
        <v>712</v>
      </c>
      <c r="C14" s="42" t="s">
        <v>19</v>
      </c>
      <c r="D14" s="43" t="e">
        <f>SUM(D15:D18)</f>
        <v>#REF!</v>
      </c>
    </row>
    <row r="15" spans="2:7">
      <c r="B15" s="44">
        <v>7121</v>
      </c>
      <c r="C15" s="45" t="s">
        <v>21</v>
      </c>
      <c r="D15" s="46" t="e">
        <f>+'Cental Budget - hwy'!AG26</f>
        <v>#REF!</v>
      </c>
      <c r="F15" s="40"/>
    </row>
    <row r="16" spans="2:7">
      <c r="B16" s="44">
        <v>7122</v>
      </c>
      <c r="C16" s="45" t="s">
        <v>23</v>
      </c>
      <c r="D16" s="46" t="e">
        <f>+'Cental Budget - hwy'!AG27</f>
        <v>#REF!</v>
      </c>
    </row>
    <row r="17" spans="2:4">
      <c r="B17" s="44">
        <v>7123</v>
      </c>
      <c r="C17" s="45" t="s">
        <v>25</v>
      </c>
      <c r="D17" s="46" t="e">
        <f>+'Cental Budget - hwy'!AG28</f>
        <v>#REF!</v>
      </c>
    </row>
    <row r="18" spans="2:4">
      <c r="B18" s="44">
        <v>7124</v>
      </c>
      <c r="C18" s="45" t="s">
        <v>27</v>
      </c>
      <c r="D18" s="46" t="e">
        <f>+'Cental Budget - hwy'!AG29</f>
        <v>#REF!</v>
      </c>
    </row>
    <row r="19" spans="2:4">
      <c r="B19" s="41">
        <v>713</v>
      </c>
      <c r="C19" s="42" t="s">
        <v>29</v>
      </c>
      <c r="D19" s="43" t="e">
        <f>SUM(D20:D23)</f>
        <v>#REF!</v>
      </c>
    </row>
    <row r="20" spans="2:4">
      <c r="B20" s="44">
        <v>7131</v>
      </c>
      <c r="C20" s="47" t="s">
        <v>31</v>
      </c>
      <c r="D20" s="46" t="e">
        <f>+'Cental Budget - hwy'!AG31</f>
        <v>#REF!</v>
      </c>
    </row>
    <row r="21" spans="2:4">
      <c r="B21" s="44">
        <v>7132</v>
      </c>
      <c r="C21" s="47" t="s">
        <v>32</v>
      </c>
      <c r="D21" s="46" t="e">
        <f>+'Cental Budget - hwy'!AG32</f>
        <v>#REF!</v>
      </c>
    </row>
    <row r="22" spans="2:4">
      <c r="B22" s="44">
        <v>7133</v>
      </c>
      <c r="C22" s="47" t="s">
        <v>34</v>
      </c>
      <c r="D22" s="46" t="e">
        <f>+'Cental Budget - hwy'!AG33</f>
        <v>#REF!</v>
      </c>
    </row>
    <row r="23" spans="2:4">
      <c r="B23" s="44">
        <v>7136</v>
      </c>
      <c r="C23" s="47" t="s">
        <v>37</v>
      </c>
      <c r="D23" s="46" t="e">
        <f>+'Cental Budget - hwy'!AG34</f>
        <v>#REF!</v>
      </c>
    </row>
    <row r="24" spans="2:4">
      <c r="B24" s="41">
        <v>714</v>
      </c>
      <c r="C24" s="42" t="s">
        <v>39</v>
      </c>
      <c r="D24" s="43" t="e">
        <f>SUM(D25:D30)</f>
        <v>#REF!</v>
      </c>
    </row>
    <row r="25" spans="2:4">
      <c r="B25" s="44">
        <v>7141</v>
      </c>
      <c r="C25" s="45" t="s">
        <v>40</v>
      </c>
      <c r="D25" s="46" t="e">
        <f>+'Cental Budget - hwy'!AG36</f>
        <v>#REF!</v>
      </c>
    </row>
    <row r="26" spans="2:4">
      <c r="B26" s="44">
        <v>7142</v>
      </c>
      <c r="C26" s="45" t="s">
        <v>400</v>
      </c>
      <c r="D26" s="46" t="e">
        <f>+'Cental Budget - hwy'!AG37</f>
        <v>#REF!</v>
      </c>
    </row>
    <row r="27" spans="2:4">
      <c r="B27" s="44">
        <v>7143</v>
      </c>
      <c r="C27" s="45" t="s">
        <v>45</v>
      </c>
      <c r="D27" s="46" t="e">
        <f>+'Cental Budget - hwy'!AG38</f>
        <v>#REF!</v>
      </c>
    </row>
    <row r="28" spans="2:4">
      <c r="B28" s="44">
        <v>7144</v>
      </c>
      <c r="C28" s="45" t="s">
        <v>47</v>
      </c>
      <c r="D28" s="46" t="e">
        <f>+'Cental Budget - hwy'!AG39</f>
        <v>#REF!</v>
      </c>
    </row>
    <row r="29" spans="2:4">
      <c r="B29" s="44">
        <v>7148</v>
      </c>
      <c r="C29" s="45" t="s">
        <v>313</v>
      </c>
      <c r="D29" s="46" t="e">
        <f>+'Cental Budget - hwy'!AG40</f>
        <v>#REF!</v>
      </c>
    </row>
    <row r="30" spans="2:4">
      <c r="B30" s="44">
        <v>7149</v>
      </c>
      <c r="C30" s="45" t="s">
        <v>51</v>
      </c>
      <c r="D30" s="46" t="e">
        <f>+'Cental Budget - hwy'!AG41</f>
        <v>#REF!</v>
      </c>
    </row>
    <row r="31" spans="2:4">
      <c r="B31" s="41">
        <v>715</v>
      </c>
      <c r="C31" s="42" t="s">
        <v>53</v>
      </c>
      <c r="D31" s="43" t="e">
        <f>SUM(D32:D35)</f>
        <v>#REF!</v>
      </c>
    </row>
    <row r="32" spans="2:4">
      <c r="B32" s="44">
        <v>7151</v>
      </c>
      <c r="C32" s="48" t="s">
        <v>55</v>
      </c>
      <c r="D32" s="46" t="e">
        <f>+'Cental Budget - hwy'!AG43</f>
        <v>#REF!</v>
      </c>
    </row>
    <row r="33" spans="2:4">
      <c r="B33" s="44">
        <v>7152</v>
      </c>
      <c r="C33" s="48" t="s">
        <v>57</v>
      </c>
      <c r="D33" s="46" t="e">
        <f>+'Cental Budget - hwy'!AG44</f>
        <v>#REF!</v>
      </c>
    </row>
    <row r="34" spans="2:4" ht="16.5" customHeight="1">
      <c r="B34" s="44">
        <v>7153</v>
      </c>
      <c r="C34" s="48" t="s">
        <v>59</v>
      </c>
      <c r="D34" s="46" t="e">
        <f>+'Cental Budget - hwy'!AG45</f>
        <v>#REF!</v>
      </c>
    </row>
    <row r="35" spans="2:4">
      <c r="B35" s="44">
        <v>7155</v>
      </c>
      <c r="C35" s="48" t="s">
        <v>53</v>
      </c>
      <c r="D35" s="46" t="e">
        <f>+'Cental Budget - hwy'!AG46</f>
        <v>#REF!</v>
      </c>
    </row>
    <row r="36" spans="2:4">
      <c r="B36" s="49">
        <v>72</v>
      </c>
      <c r="C36" s="50" t="s">
        <v>401</v>
      </c>
      <c r="D36" s="43">
        <f>+D37+D38+D41</f>
        <v>0</v>
      </c>
    </row>
    <row r="37" spans="2:4">
      <c r="B37" s="51">
        <v>7200</v>
      </c>
      <c r="C37" s="48" t="s">
        <v>402</v>
      </c>
      <c r="D37" s="46">
        <f>+'Cental Budget - hwy'!AG86</f>
        <v>0</v>
      </c>
    </row>
    <row r="38" spans="2:4" hidden="1">
      <c r="B38" s="52">
        <v>721</v>
      </c>
      <c r="C38" s="48" t="s">
        <v>403</v>
      </c>
      <c r="D38" s="46"/>
    </row>
    <row r="39" spans="2:4" hidden="1">
      <c r="B39" s="51">
        <v>7211</v>
      </c>
      <c r="C39" s="48" t="s">
        <v>404</v>
      </c>
      <c r="D39" s="46"/>
    </row>
    <row r="40" spans="2:4" hidden="1">
      <c r="B40" s="51">
        <v>7213</v>
      </c>
      <c r="C40" s="48" t="s">
        <v>405</v>
      </c>
      <c r="D40" s="46"/>
    </row>
    <row r="41" spans="2:4" hidden="1">
      <c r="B41" s="52">
        <v>722</v>
      </c>
      <c r="C41" s="48" t="s">
        <v>406</v>
      </c>
      <c r="D41" s="46">
        <v>0</v>
      </c>
    </row>
    <row r="42" spans="2:4" hidden="1">
      <c r="B42" s="44">
        <v>7221</v>
      </c>
      <c r="C42" s="48" t="s">
        <v>407</v>
      </c>
      <c r="D42" s="46"/>
    </row>
    <row r="43" spans="2:4" hidden="1">
      <c r="B43" s="44">
        <v>7222</v>
      </c>
      <c r="C43" s="48" t="s">
        <v>408</v>
      </c>
      <c r="D43" s="46"/>
    </row>
    <row r="44" spans="2:4">
      <c r="B44" s="49">
        <v>73</v>
      </c>
      <c r="C44" s="50" t="s">
        <v>409</v>
      </c>
      <c r="D44" s="43" t="e">
        <f>+D45</f>
        <v>#REF!</v>
      </c>
    </row>
    <row r="45" spans="2:4">
      <c r="B45" s="52">
        <v>731</v>
      </c>
      <c r="C45" s="45" t="s">
        <v>409</v>
      </c>
      <c r="D45" s="46" t="e">
        <f>+'Cental Budget - hwy'!AG47</f>
        <v>#REF!</v>
      </c>
    </row>
    <row r="46" spans="2:4" ht="27" hidden="1">
      <c r="B46" s="51">
        <v>7311</v>
      </c>
      <c r="C46" s="48" t="s">
        <v>410</v>
      </c>
      <c r="D46" s="46"/>
    </row>
    <row r="47" spans="2:4" hidden="1">
      <c r="B47" s="52">
        <v>7312</v>
      </c>
      <c r="C47" s="48" t="s">
        <v>411</v>
      </c>
      <c r="D47" s="46"/>
    </row>
    <row r="48" spans="2:4" hidden="1">
      <c r="B48" s="52">
        <v>7313</v>
      </c>
      <c r="C48" s="48" t="s">
        <v>412</v>
      </c>
      <c r="D48" s="46"/>
    </row>
    <row r="49" spans="2:4" hidden="1">
      <c r="B49" s="52">
        <v>7314</v>
      </c>
      <c r="C49" s="48" t="s">
        <v>413</v>
      </c>
      <c r="D49" s="46"/>
    </row>
    <row r="50" spans="2:4" hidden="1">
      <c r="B50" s="52">
        <v>732</v>
      </c>
      <c r="C50" s="45" t="s">
        <v>414</v>
      </c>
      <c r="D50" s="46"/>
    </row>
    <row r="51" spans="2:4" hidden="1">
      <c r="B51" s="44">
        <v>7321</v>
      </c>
      <c r="C51" s="48" t="s">
        <v>415</v>
      </c>
      <c r="D51" s="46"/>
    </row>
    <row r="52" spans="2:4">
      <c r="B52" s="49">
        <v>74</v>
      </c>
      <c r="C52" s="50" t="s">
        <v>416</v>
      </c>
      <c r="D52" s="43">
        <f>+D53</f>
        <v>0</v>
      </c>
    </row>
    <row r="53" spans="2:4">
      <c r="B53" s="52">
        <v>741</v>
      </c>
      <c r="C53" s="48" t="s">
        <v>416</v>
      </c>
      <c r="D53" s="46">
        <f>+'Cental Budget - hwy'!AG48</f>
        <v>0</v>
      </c>
    </row>
    <row r="54" spans="2:4" hidden="1">
      <c r="B54" s="44">
        <v>7411</v>
      </c>
      <c r="C54" s="48" t="s">
        <v>417</v>
      </c>
      <c r="D54" s="46">
        <v>0</v>
      </c>
    </row>
    <row r="55" spans="2:4">
      <c r="B55" s="49">
        <v>75</v>
      </c>
      <c r="C55" s="50" t="s">
        <v>111</v>
      </c>
      <c r="D55" s="43">
        <f>+D56</f>
        <v>606921532.81536603</v>
      </c>
    </row>
    <row r="56" spans="2:4">
      <c r="B56" s="53">
        <v>751</v>
      </c>
      <c r="C56" s="54" t="s">
        <v>111</v>
      </c>
      <c r="D56" s="55">
        <f>+D57+D58</f>
        <v>606921532.81536603</v>
      </c>
    </row>
    <row r="57" spans="2:4">
      <c r="B57" s="51">
        <v>7511</v>
      </c>
      <c r="C57" s="48" t="s">
        <v>144</v>
      </c>
      <c r="D57" s="46">
        <f>+'Cental Budget - hwy'!AG84</f>
        <v>0</v>
      </c>
    </row>
    <row r="58" spans="2:4" ht="15.75" thickBot="1">
      <c r="B58" s="56">
        <v>7512</v>
      </c>
      <c r="C58" s="57" t="s">
        <v>122</v>
      </c>
      <c r="D58" s="58">
        <f>+'Cental Budget - hwy'!AG85</f>
        <v>606921532.81536603</v>
      </c>
    </row>
    <row r="59" spans="2:4" ht="15.75" thickTop="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D2:G24"/>
  <sheetViews>
    <sheetView workbookViewId="0">
      <selection activeCell="G24" sqref="G24"/>
    </sheetView>
  </sheetViews>
  <sheetFormatPr defaultRowHeight="15"/>
  <cols>
    <col min="1" max="3" width="9.140625" style="29"/>
    <col min="4" max="4" width="44.28515625" style="29" customWidth="1"/>
    <col min="5" max="5" width="18.28515625" style="29" customWidth="1"/>
    <col min="6" max="6" width="9.140625" style="29"/>
    <col min="7" max="7" width="14.5703125" style="29" bestFit="1" customWidth="1"/>
    <col min="8" max="16384" width="9.140625" style="29"/>
  </cols>
  <sheetData>
    <row r="2" spans="4:7" ht="15.75" thickBot="1"/>
    <row r="3" spans="4:7" ht="16.5" thickTop="1" thickBot="1">
      <c r="D3" s="59" t="s">
        <v>127</v>
      </c>
      <c r="E3" s="60" t="s">
        <v>396</v>
      </c>
    </row>
    <row r="4" spans="4:7" ht="16.5" thickTop="1" thickBot="1">
      <c r="D4" s="61" t="s">
        <v>418</v>
      </c>
      <c r="E4" s="62" t="e">
        <f>+E5+E6</f>
        <v>#REF!</v>
      </c>
      <c r="G4" s="63" t="e">
        <f>+E4-'Cental Budget - hwy'!AG16</f>
        <v>#REF!</v>
      </c>
    </row>
    <row r="5" spans="4:7" ht="16.5" thickTop="1">
      <c r="D5" s="71" t="s">
        <v>419</v>
      </c>
      <c r="E5" s="72" t="e">
        <f>+PRIMICI!D6+PRIMICI!D14</f>
        <v>#REF!</v>
      </c>
      <c r="G5" s="65"/>
    </row>
    <row r="6" spans="4:7" ht="16.5" thickBot="1">
      <c r="D6" s="73" t="s">
        <v>53</v>
      </c>
      <c r="E6" s="74" t="e">
        <f>+PRIMICI!D19+PRIMICI!D24+PRIMICI!D31+PRIMICI!D44</f>
        <v>#REF!</v>
      </c>
      <c r="G6" s="65"/>
    </row>
    <row r="7" spans="4:7" ht="16.5" thickTop="1" thickBot="1">
      <c r="D7" s="66" t="s">
        <v>420</v>
      </c>
      <c r="E7" s="62">
        <f>+E8+E9</f>
        <v>1493065095.2929366</v>
      </c>
      <c r="G7" s="63">
        <f>+E7-'Cental Budget - hwy'!AG49</f>
        <v>0</v>
      </c>
    </row>
    <row r="8" spans="4:7" ht="16.5" thickTop="1">
      <c r="D8" s="75" t="s">
        <v>126</v>
      </c>
      <c r="E8" s="72">
        <f>+'Cental Budget - hwy'!AG50</f>
        <v>1263065095.2929366</v>
      </c>
      <c r="G8" s="65"/>
    </row>
    <row r="9" spans="4:7" ht="16.5" thickBot="1">
      <c r="D9" s="73" t="s">
        <v>421</v>
      </c>
      <c r="E9" s="74">
        <f>+'Cental Budget - hwy'!AG71</f>
        <v>230000000</v>
      </c>
      <c r="G9" s="65"/>
    </row>
    <row r="10" spans="4:7" ht="16.5" thickTop="1" thickBot="1">
      <c r="D10" s="67" t="s">
        <v>422</v>
      </c>
      <c r="E10" s="62" t="e">
        <f>+E4-E7</f>
        <v>#REF!</v>
      </c>
      <c r="G10" s="63" t="e">
        <f>+E10-'Cental Budget - hwy'!AG76</f>
        <v>#REF!</v>
      </c>
    </row>
    <row r="11" spans="4:7" ht="16.5" thickTop="1" thickBot="1">
      <c r="D11" s="67" t="s">
        <v>423</v>
      </c>
      <c r="E11" s="62" t="e">
        <f>+'Cental Budget - hwy'!AG77</f>
        <v>#REF!</v>
      </c>
      <c r="G11" s="65"/>
    </row>
    <row r="12" spans="4:7" ht="16.5" thickTop="1" thickBot="1">
      <c r="D12" s="67" t="s">
        <v>424</v>
      </c>
      <c r="E12" s="62">
        <f>+E13+E14+E15</f>
        <v>452860948.83999997</v>
      </c>
      <c r="G12" s="63">
        <f>+E12-'Cental Budget - hwy'!AG78</f>
        <v>0</v>
      </c>
    </row>
    <row r="13" spans="4:7" ht="16.5" thickTop="1" thickBot="1">
      <c r="D13" s="76" t="s">
        <v>158</v>
      </c>
      <c r="E13" s="72">
        <f>+'Cental Budget - hwy'!AG79</f>
        <v>81000382.63000001</v>
      </c>
      <c r="G13" s="65"/>
    </row>
    <row r="14" spans="4:7" ht="16.5" thickTop="1" thickBot="1">
      <c r="D14" s="77" t="s">
        <v>159</v>
      </c>
      <c r="E14" s="72">
        <f>+'Cental Budget - hwy'!AG80</f>
        <v>361860566.20999998</v>
      </c>
      <c r="G14" s="65"/>
    </row>
    <row r="15" spans="4:7" ht="16.5" thickTop="1" thickBot="1">
      <c r="D15" s="78" t="s">
        <v>160</v>
      </c>
      <c r="E15" s="72">
        <f>+'Cental Budget - hwy'!AG81</f>
        <v>10000000</v>
      </c>
      <c r="G15" s="65"/>
    </row>
    <row r="16" spans="4:7" ht="15.75" hidden="1" thickBot="1">
      <c r="D16" s="68" t="s">
        <v>113</v>
      </c>
      <c r="E16" s="64">
        <v>0</v>
      </c>
      <c r="G16" s="65"/>
    </row>
    <row r="17" spans="4:7" ht="16.5" thickTop="1" thickBot="1">
      <c r="D17" s="67" t="s">
        <v>425</v>
      </c>
      <c r="E17" s="62" t="e">
        <f>+E10-E12</f>
        <v>#REF!</v>
      </c>
      <c r="G17" s="63" t="e">
        <f>+E17-'Cental Budget - hwy'!AG82</f>
        <v>#REF!</v>
      </c>
    </row>
    <row r="18" spans="4:7" ht="16.5" thickTop="1" thickBot="1">
      <c r="D18" s="67" t="s">
        <v>426</v>
      </c>
      <c r="E18" s="62" t="e">
        <f>SUM(E19:E23)</f>
        <v>#REF!</v>
      </c>
      <c r="G18" s="63" t="e">
        <f>+E18-'Cental Budget - hwy'!AG83</f>
        <v>#REF!</v>
      </c>
    </row>
    <row r="19" spans="4:7" ht="16.5" thickTop="1" thickBot="1">
      <c r="D19" s="76" t="s">
        <v>144</v>
      </c>
      <c r="E19" s="72">
        <f>+'Cental Budget - hwy'!AG84</f>
        <v>0</v>
      </c>
      <c r="G19" s="65"/>
    </row>
    <row r="20" spans="4:7" ht="16.5" thickTop="1" thickBot="1">
      <c r="D20" s="77" t="s">
        <v>122</v>
      </c>
      <c r="E20" s="72">
        <f>+'Cental Budget - hwy'!AG85</f>
        <v>606921532.81536603</v>
      </c>
      <c r="G20" s="65"/>
    </row>
    <row r="21" spans="4:7" ht="16.5" thickTop="1" thickBot="1">
      <c r="D21" s="77" t="s">
        <v>123</v>
      </c>
      <c r="E21" s="72">
        <f>+'Cental Budget - hwy'!AG48</f>
        <v>0</v>
      </c>
      <c r="G21" s="65"/>
    </row>
    <row r="22" spans="4:7" ht="15.75" thickTop="1">
      <c r="D22" s="77" t="s">
        <v>124</v>
      </c>
      <c r="E22" s="72">
        <f>+'Cental Budget - hwy'!AG86</f>
        <v>0</v>
      </c>
      <c r="G22" s="65"/>
    </row>
    <row r="23" spans="4:7" ht="15.75" thickBot="1">
      <c r="D23" s="78" t="s">
        <v>161</v>
      </c>
      <c r="E23" s="79" t="e">
        <f>-E17-SUM(E19:E22)</f>
        <v>#REF!</v>
      </c>
      <c r="G23" s="69" t="e">
        <f>+E23-'Cental Budget - hwy'!AG87</f>
        <v>#REF!</v>
      </c>
    </row>
    <row r="24" spans="4:7" ht="15.75" thickTop="1"/>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W444"/>
  <sheetViews>
    <sheetView topLeftCell="A48" workbookViewId="0">
      <selection activeCell="B103" sqref="B103"/>
    </sheetView>
  </sheetViews>
  <sheetFormatPr defaultColWidth="9.140625" defaultRowHeight="12.75"/>
  <cols>
    <col min="1" max="1" width="2" style="11" customWidth="1"/>
    <col min="2" max="2" width="62" style="11" customWidth="1"/>
    <col min="3" max="3" width="63.140625" style="11" customWidth="1"/>
    <col min="4" max="4" width="41.7109375" style="11" customWidth="1"/>
    <col min="5" max="5" width="20" style="11" customWidth="1"/>
    <col min="6" max="6" width="8.5703125" style="11" customWidth="1"/>
    <col min="7" max="7" width="5.42578125" style="11" customWidth="1"/>
    <col min="8" max="8" width="6.42578125" style="11" customWidth="1"/>
    <col min="9" max="9" width="8" style="11" customWidth="1"/>
    <col min="10" max="10" width="6.42578125" style="11" customWidth="1"/>
    <col min="11" max="11" width="9.28515625" style="11" customWidth="1"/>
    <col min="12" max="12" width="7.42578125" style="11" customWidth="1"/>
    <col min="13" max="13" width="17" style="11" customWidth="1"/>
    <col min="14" max="14" width="8.85546875" style="11" customWidth="1"/>
    <col min="15" max="15" width="83.140625" style="11" customWidth="1"/>
    <col min="16" max="16" width="6.42578125" style="11" customWidth="1"/>
    <col min="17" max="17" width="5.42578125" style="11" customWidth="1"/>
    <col min="18" max="18" width="6.42578125" style="11" customWidth="1"/>
    <col min="19" max="19" width="2.7109375" style="11" customWidth="1"/>
    <col min="20" max="20" width="6.5703125" style="11" customWidth="1"/>
    <col min="21" max="21" width="5.7109375" style="11" customWidth="1"/>
    <col min="22" max="22" width="11.7109375" style="1" customWidth="1"/>
    <col min="23" max="16384" width="9.140625" style="1"/>
  </cols>
  <sheetData>
    <row r="1" spans="1:3">
      <c r="A1" s="10">
        <v>2</v>
      </c>
      <c r="B1" s="11" t="s">
        <v>251</v>
      </c>
    </row>
    <row r="3" spans="1:3">
      <c r="B3" s="453" t="s">
        <v>196</v>
      </c>
      <c r="C3" s="453"/>
    </row>
    <row r="5" spans="1:3" ht="15" customHeight="1">
      <c r="B5" s="11" t="s">
        <v>199</v>
      </c>
      <c r="C5" s="11" t="s">
        <v>197</v>
      </c>
    </row>
    <row r="6" spans="1:3">
      <c r="B6" s="11" t="s">
        <v>200</v>
      </c>
      <c r="C6" s="11" t="s">
        <v>198</v>
      </c>
    </row>
    <row r="8" spans="1:3">
      <c r="B8" s="11" t="s">
        <v>208</v>
      </c>
      <c r="C8" s="11" t="s">
        <v>365</v>
      </c>
    </row>
    <row r="9" spans="1:3">
      <c r="B9" s="11" t="s">
        <v>206</v>
      </c>
      <c r="C9" s="11" t="s">
        <v>207</v>
      </c>
    </row>
    <row r="10" spans="1:3">
      <c r="B10" s="11" t="s">
        <v>213</v>
      </c>
      <c r="C10" s="11" t="s">
        <v>215</v>
      </c>
    </row>
    <row r="11" spans="1:3">
      <c r="B11" s="11" t="s">
        <v>214</v>
      </c>
      <c r="C11" s="11" t="s">
        <v>212</v>
      </c>
    </row>
    <row r="12" spans="1:3">
      <c r="B12" s="11" t="s">
        <v>216</v>
      </c>
      <c r="C12" s="11" t="s">
        <v>217</v>
      </c>
    </row>
    <row r="13" spans="1:3">
      <c r="B13" s="11" t="s">
        <v>211</v>
      </c>
      <c r="C13" s="11" t="s">
        <v>366</v>
      </c>
    </row>
    <row r="14" spans="1:3">
      <c r="B14" s="11" t="s">
        <v>367</v>
      </c>
      <c r="C14" s="11" t="s">
        <v>368</v>
      </c>
    </row>
    <row r="15" spans="1:3">
      <c r="B15" s="11" t="s">
        <v>209</v>
      </c>
      <c r="C15" s="11" t="s">
        <v>210</v>
      </c>
    </row>
    <row r="16" spans="1:3">
      <c r="B16" s="11" t="s">
        <v>201</v>
      </c>
      <c r="C16" s="11" t="s">
        <v>202</v>
      </c>
    </row>
    <row r="17" spans="2:3" ht="15" customHeight="1">
      <c r="B17" s="11" t="s">
        <v>203</v>
      </c>
      <c r="C17" s="11" t="s">
        <v>290</v>
      </c>
    </row>
    <row r="18" spans="2:3">
      <c r="B18" s="11" t="s">
        <v>369</v>
      </c>
      <c r="C18" s="11" t="s">
        <v>370</v>
      </c>
    </row>
    <row r="19" spans="2:3">
      <c r="B19" s="11" t="s">
        <v>291</v>
      </c>
      <c r="C19" s="11" t="s">
        <v>292</v>
      </c>
    </row>
    <row r="21" spans="2:3">
      <c r="B21" s="11" t="s">
        <v>221</v>
      </c>
      <c r="C21" s="11" t="s">
        <v>222</v>
      </c>
    </row>
    <row r="22" spans="2:3">
      <c r="B22" s="11" t="s">
        <v>204</v>
      </c>
      <c r="C22" s="11" t="s">
        <v>205</v>
      </c>
    </row>
    <row r="24" spans="2:3">
      <c r="B24" s="11" t="s">
        <v>331</v>
      </c>
    </row>
    <row r="25" spans="2:3">
      <c r="B25" s="11" t="s">
        <v>220</v>
      </c>
    </row>
    <row r="27" spans="2:3">
      <c r="B27" s="12" t="s">
        <v>172</v>
      </c>
    </row>
    <row r="28" spans="2:3">
      <c r="B28" s="12" t="s">
        <v>171</v>
      </c>
    </row>
    <row r="30" spans="2:3">
      <c r="B30" s="11" t="s">
        <v>218</v>
      </c>
    </row>
    <row r="31" spans="2:3">
      <c r="B31" s="11" t="s">
        <v>219</v>
      </c>
    </row>
    <row r="37" spans="2:20">
      <c r="B37" s="453" t="s">
        <v>244</v>
      </c>
      <c r="C37" s="453"/>
      <c r="D37" s="453"/>
      <c r="E37" s="453"/>
      <c r="F37" s="453"/>
      <c r="G37" s="453"/>
      <c r="H37" s="453"/>
      <c r="I37" s="453"/>
      <c r="J37" s="453"/>
      <c r="K37" s="453"/>
      <c r="L37" s="453"/>
      <c r="M37" s="453"/>
      <c r="N37" s="453"/>
      <c r="O37" s="453"/>
      <c r="P37" s="453"/>
      <c r="Q37" s="453"/>
      <c r="R37" s="453"/>
      <c r="S37" s="453"/>
      <c r="T37" s="453"/>
    </row>
    <row r="40" spans="2:20" ht="12.75" customHeight="1">
      <c r="B40" s="456" t="s">
        <v>239</v>
      </c>
      <c r="C40" s="456"/>
      <c r="D40" s="457" t="s">
        <v>245</v>
      </c>
      <c r="E40" s="457"/>
      <c r="F40" s="456" t="s">
        <v>240</v>
      </c>
      <c r="G40" s="456"/>
      <c r="H40" s="456"/>
      <c r="I40" s="2" t="s">
        <v>241</v>
      </c>
      <c r="J40" s="456" t="s">
        <v>242</v>
      </c>
      <c r="K40" s="456"/>
      <c r="L40" s="456"/>
      <c r="M40" s="456" t="s">
        <v>243</v>
      </c>
      <c r="N40" s="456"/>
      <c r="O40" s="456"/>
      <c r="P40" s="456"/>
    </row>
    <row r="41" spans="2:20">
      <c r="B41" s="456"/>
      <c r="C41" s="456"/>
      <c r="D41" s="457"/>
      <c r="E41" s="457"/>
      <c r="F41" s="13">
        <v>2008</v>
      </c>
      <c r="G41" s="14">
        <v>2009</v>
      </c>
      <c r="H41" s="14">
        <v>2010</v>
      </c>
      <c r="I41" s="14">
        <v>2011</v>
      </c>
      <c r="J41" s="14">
        <v>2012</v>
      </c>
      <c r="K41" s="14">
        <v>2013</v>
      </c>
      <c r="L41" s="14">
        <v>2014</v>
      </c>
      <c r="M41" s="14">
        <v>2011</v>
      </c>
      <c r="N41" s="14">
        <v>2012</v>
      </c>
      <c r="O41" s="14">
        <v>2013</v>
      </c>
      <c r="P41" s="14">
        <v>2014</v>
      </c>
    </row>
    <row r="42" spans="2:20">
      <c r="B42" s="454" t="s">
        <v>223</v>
      </c>
      <c r="C42" s="15" t="s">
        <v>224</v>
      </c>
      <c r="D42" s="458" t="s">
        <v>181</v>
      </c>
      <c r="E42" s="16" t="s">
        <v>182</v>
      </c>
      <c r="F42" s="458" t="s">
        <v>247</v>
      </c>
      <c r="G42" s="458"/>
      <c r="H42" s="458"/>
      <c r="I42" s="17" t="s">
        <v>248</v>
      </c>
      <c r="J42" s="459" t="s">
        <v>249</v>
      </c>
      <c r="K42" s="459"/>
      <c r="L42" s="459"/>
      <c r="M42" s="458" t="s">
        <v>250</v>
      </c>
      <c r="N42" s="458"/>
      <c r="O42" s="458"/>
      <c r="P42" s="458"/>
    </row>
    <row r="43" spans="2:20">
      <c r="B43" s="454"/>
      <c r="C43" s="18" t="s">
        <v>225</v>
      </c>
      <c r="D43" s="458"/>
      <c r="E43" s="16" t="s">
        <v>183</v>
      </c>
      <c r="G43" s="16"/>
      <c r="H43" s="16"/>
      <c r="I43" s="17"/>
      <c r="J43" s="16"/>
      <c r="K43" s="17"/>
      <c r="L43" s="16"/>
      <c r="M43" s="17"/>
      <c r="N43" s="16"/>
    </row>
    <row r="44" spans="2:20">
      <c r="B44" s="454"/>
      <c r="C44" s="15" t="s">
        <v>226</v>
      </c>
      <c r="D44" s="458"/>
      <c r="E44" s="16" t="s">
        <v>184</v>
      </c>
      <c r="F44" s="16"/>
      <c r="G44" s="17"/>
      <c r="H44" s="16"/>
      <c r="I44" s="17"/>
      <c r="J44" s="17"/>
      <c r="K44" s="17"/>
      <c r="L44" s="16"/>
      <c r="M44" s="16"/>
      <c r="N44" s="16"/>
    </row>
    <row r="45" spans="2:20">
      <c r="B45" s="454"/>
      <c r="C45" s="15" t="s">
        <v>227</v>
      </c>
      <c r="D45" s="458"/>
      <c r="E45" s="17" t="s">
        <v>185</v>
      </c>
      <c r="F45" s="17"/>
      <c r="G45" s="17"/>
      <c r="H45" s="17"/>
      <c r="I45" s="17"/>
      <c r="J45" s="17"/>
      <c r="K45" s="17"/>
      <c r="L45" s="17"/>
      <c r="M45" s="17"/>
      <c r="N45" s="17"/>
    </row>
    <row r="46" spans="2:20">
      <c r="B46" s="454"/>
      <c r="C46" s="15" t="s">
        <v>228</v>
      </c>
      <c r="D46" s="458"/>
      <c r="E46" s="17" t="s">
        <v>186</v>
      </c>
      <c r="F46" s="17"/>
      <c r="G46" s="17"/>
      <c r="H46" s="17"/>
      <c r="I46" s="17"/>
      <c r="J46" s="17"/>
      <c r="K46" s="17"/>
      <c r="L46" s="17"/>
      <c r="M46" s="17"/>
      <c r="N46" s="17"/>
    </row>
    <row r="47" spans="2:20">
      <c r="B47" s="454"/>
      <c r="C47" s="15" t="s">
        <v>229</v>
      </c>
      <c r="D47" s="458"/>
      <c r="E47" s="16" t="s">
        <v>187</v>
      </c>
      <c r="F47" s="17"/>
      <c r="G47" s="17"/>
      <c r="H47" s="17"/>
      <c r="I47" s="16"/>
      <c r="J47" s="16"/>
      <c r="K47" s="16"/>
      <c r="L47" s="16"/>
      <c r="M47" s="16"/>
      <c r="N47" s="16"/>
    </row>
    <row r="48" spans="2:20">
      <c r="B48" s="454"/>
      <c r="C48" s="15" t="s">
        <v>230</v>
      </c>
      <c r="D48" s="458"/>
      <c r="E48" s="17" t="s">
        <v>188</v>
      </c>
      <c r="F48" s="17"/>
      <c r="G48" s="17"/>
      <c r="H48" s="17"/>
      <c r="I48" s="17"/>
      <c r="J48" s="17"/>
      <c r="K48" s="17"/>
      <c r="L48" s="17"/>
      <c r="M48" s="17"/>
      <c r="N48" s="17"/>
    </row>
    <row r="49" spans="2:20">
      <c r="B49" s="454"/>
      <c r="C49" s="19" t="s">
        <v>231</v>
      </c>
      <c r="D49" s="458"/>
      <c r="E49" s="16" t="s">
        <v>246</v>
      </c>
      <c r="F49" s="17"/>
      <c r="G49" s="16"/>
      <c r="H49" s="16"/>
      <c r="I49" s="16"/>
      <c r="J49" s="16"/>
      <c r="K49" s="16"/>
      <c r="L49" s="16"/>
      <c r="M49" s="16"/>
      <c r="N49" s="16"/>
    </row>
    <row r="50" spans="2:20">
      <c r="B50" s="454"/>
      <c r="C50" s="15" t="s">
        <v>232</v>
      </c>
      <c r="D50" s="458"/>
      <c r="E50" s="17" t="s">
        <v>189</v>
      </c>
      <c r="F50" s="17"/>
      <c r="G50" s="17"/>
      <c r="H50" s="17"/>
      <c r="I50" s="17"/>
      <c r="J50" s="17"/>
      <c r="K50" s="17"/>
      <c r="L50" s="17"/>
      <c r="M50" s="17"/>
      <c r="N50" s="17"/>
    </row>
    <row r="51" spans="2:20">
      <c r="B51" s="454"/>
      <c r="C51" s="15" t="s">
        <v>379</v>
      </c>
      <c r="D51" s="458"/>
      <c r="E51" s="17" t="s">
        <v>380</v>
      </c>
      <c r="F51" s="17"/>
      <c r="G51" s="17"/>
      <c r="H51" s="17"/>
      <c r="I51" s="17"/>
      <c r="J51" s="17"/>
      <c r="K51" s="17"/>
      <c r="L51" s="17"/>
      <c r="M51" s="17"/>
      <c r="N51" s="17"/>
    </row>
    <row r="52" spans="2:20">
      <c r="B52" s="455" t="s">
        <v>233</v>
      </c>
      <c r="C52" s="20" t="s">
        <v>234</v>
      </c>
      <c r="D52" s="458" t="s">
        <v>190</v>
      </c>
      <c r="E52" s="17" t="s">
        <v>191</v>
      </c>
      <c r="F52" s="17"/>
      <c r="G52" s="17"/>
      <c r="H52" s="17"/>
      <c r="I52" s="17"/>
      <c r="J52" s="17"/>
      <c r="K52" s="17"/>
      <c r="L52" s="17"/>
      <c r="M52" s="17"/>
      <c r="N52" s="17"/>
    </row>
    <row r="53" spans="2:20">
      <c r="B53" s="455"/>
      <c r="C53" s="20" t="s">
        <v>235</v>
      </c>
      <c r="D53" s="458"/>
      <c r="E53" s="17" t="s">
        <v>192</v>
      </c>
      <c r="F53" s="17"/>
      <c r="G53" s="17"/>
      <c r="H53" s="17"/>
      <c r="I53" s="17"/>
      <c r="J53" s="17"/>
      <c r="K53" s="17"/>
      <c r="L53" s="17"/>
      <c r="M53" s="17"/>
      <c r="N53" s="17"/>
    </row>
    <row r="54" spans="2:20">
      <c r="B54" s="455"/>
      <c r="C54" s="20" t="s">
        <v>236</v>
      </c>
      <c r="D54" s="458"/>
      <c r="E54" s="17" t="s">
        <v>374</v>
      </c>
      <c r="F54" s="17"/>
      <c r="G54" s="17"/>
      <c r="H54" s="17"/>
      <c r="I54" s="17"/>
      <c r="J54" s="17"/>
      <c r="K54" s="16"/>
      <c r="L54" s="17"/>
      <c r="M54" s="17"/>
      <c r="N54" s="17"/>
    </row>
    <row r="55" spans="2:20">
      <c r="B55" s="455"/>
      <c r="C55" s="20" t="s">
        <v>375</v>
      </c>
      <c r="D55" s="458"/>
      <c r="E55" s="20" t="s">
        <v>377</v>
      </c>
      <c r="F55" s="17"/>
      <c r="G55" s="17"/>
      <c r="H55" s="17"/>
      <c r="I55" s="17"/>
      <c r="J55" s="17"/>
      <c r="K55" s="16"/>
      <c r="L55" s="17"/>
      <c r="M55" s="17"/>
      <c r="N55" s="17"/>
    </row>
    <row r="56" spans="2:20">
      <c r="B56" s="455"/>
      <c r="C56" s="20" t="s">
        <v>80</v>
      </c>
      <c r="D56" s="458"/>
      <c r="E56" s="17" t="s">
        <v>193</v>
      </c>
      <c r="F56" s="17"/>
      <c r="G56" s="16"/>
      <c r="H56" s="21"/>
      <c r="I56" s="21"/>
      <c r="J56" s="21"/>
      <c r="K56" s="21"/>
      <c r="L56" s="21"/>
      <c r="M56" s="21"/>
      <c r="N56" s="16"/>
    </row>
    <row r="57" spans="2:20">
      <c r="B57" s="455"/>
      <c r="C57" s="20" t="s">
        <v>237</v>
      </c>
      <c r="D57" s="458"/>
      <c r="E57" s="17" t="s">
        <v>194</v>
      </c>
      <c r="F57" s="17"/>
      <c r="G57" s="17"/>
      <c r="H57" s="17"/>
      <c r="I57" s="17"/>
      <c r="J57" s="21"/>
      <c r="K57" s="16"/>
      <c r="L57" s="17"/>
      <c r="M57" s="17"/>
      <c r="N57" s="17"/>
    </row>
    <row r="58" spans="2:20">
      <c r="B58" s="455"/>
      <c r="C58" s="20" t="s">
        <v>376</v>
      </c>
      <c r="D58" s="458"/>
      <c r="E58" s="17" t="s">
        <v>378</v>
      </c>
      <c r="F58" s="17"/>
      <c r="G58" s="17"/>
      <c r="H58" s="17"/>
      <c r="I58" s="17"/>
      <c r="J58" s="21"/>
      <c r="K58" s="16"/>
      <c r="L58" s="17"/>
      <c r="M58" s="17"/>
      <c r="N58" s="17"/>
    </row>
    <row r="59" spans="2:20">
      <c r="B59" s="455"/>
      <c r="C59" s="20" t="s">
        <v>238</v>
      </c>
      <c r="D59" s="458"/>
      <c r="E59" s="17" t="s">
        <v>195</v>
      </c>
      <c r="F59" s="17"/>
      <c r="G59" s="17"/>
      <c r="H59" s="17"/>
      <c r="I59" s="17"/>
      <c r="J59" s="17"/>
      <c r="K59" s="17"/>
      <c r="L59" s="21"/>
      <c r="M59" s="17"/>
      <c r="N59" s="17"/>
    </row>
    <row r="60" spans="2:20">
      <c r="B60" s="11" t="s">
        <v>333</v>
      </c>
      <c r="D60" s="11" t="s">
        <v>332</v>
      </c>
    </row>
    <row r="62" spans="2:20">
      <c r="B62" s="453" t="s">
        <v>252</v>
      </c>
      <c r="C62" s="453"/>
      <c r="D62" s="453"/>
      <c r="E62" s="453"/>
      <c r="F62" s="453"/>
      <c r="G62" s="453"/>
      <c r="H62" s="453"/>
      <c r="I62" s="453"/>
      <c r="J62" s="453"/>
      <c r="K62" s="453"/>
      <c r="L62" s="453"/>
      <c r="M62" s="453"/>
      <c r="N62" s="453"/>
      <c r="O62" s="453"/>
      <c r="P62" s="453"/>
      <c r="Q62" s="453"/>
      <c r="R62" s="453"/>
      <c r="S62" s="453"/>
      <c r="T62" s="453"/>
    </row>
    <row r="66" spans="2:22">
      <c r="B66" s="11" t="s">
        <v>371</v>
      </c>
    </row>
    <row r="67" spans="2:22">
      <c r="B67" s="11" t="s">
        <v>372</v>
      </c>
      <c r="M67" s="11" t="s">
        <v>338</v>
      </c>
      <c r="O67" s="11" t="s">
        <v>381</v>
      </c>
    </row>
    <row r="68" spans="2:22">
      <c r="D68" s="22"/>
      <c r="E68" s="23"/>
      <c r="F68" s="22"/>
      <c r="G68" s="23"/>
      <c r="H68" s="22"/>
      <c r="I68" s="23"/>
      <c r="J68" s="22"/>
      <c r="K68" s="23"/>
      <c r="L68" s="22"/>
      <c r="M68" s="23" t="s">
        <v>337</v>
      </c>
      <c r="N68" s="22"/>
      <c r="O68" s="23" t="s">
        <v>382</v>
      </c>
      <c r="P68" s="22"/>
      <c r="Q68" s="23"/>
      <c r="R68" s="22"/>
      <c r="S68" s="23"/>
      <c r="T68" s="22"/>
    </row>
    <row r="69" spans="2:22">
      <c r="C69" s="4">
        <v>2006</v>
      </c>
      <c r="D69" s="4"/>
      <c r="E69" s="4">
        <v>2007</v>
      </c>
      <c r="F69" s="4"/>
      <c r="G69" s="4">
        <v>2008</v>
      </c>
      <c r="H69" s="4"/>
      <c r="I69" s="4">
        <v>2009</v>
      </c>
      <c r="J69" s="4"/>
      <c r="K69" s="4">
        <v>2010</v>
      </c>
      <c r="L69" s="4"/>
      <c r="M69" s="4">
        <v>2011</v>
      </c>
      <c r="N69" s="4"/>
      <c r="O69" s="4">
        <v>2012</v>
      </c>
      <c r="P69" s="4"/>
      <c r="Q69" s="4">
        <v>2013</v>
      </c>
      <c r="R69" s="4"/>
      <c r="S69" s="4">
        <v>2014</v>
      </c>
      <c r="T69" s="4"/>
      <c r="U69" s="11">
        <v>2015</v>
      </c>
    </row>
    <row r="70" spans="2:22">
      <c r="B70" s="5" t="s">
        <v>127</v>
      </c>
      <c r="C70" s="6" t="s">
        <v>263</v>
      </c>
      <c r="D70" s="6" t="s">
        <v>150</v>
      </c>
      <c r="E70" s="6" t="s">
        <v>263</v>
      </c>
      <c r="F70" s="6" t="s">
        <v>150</v>
      </c>
      <c r="G70" s="6" t="s">
        <v>263</v>
      </c>
      <c r="H70" s="6" t="s">
        <v>150</v>
      </c>
      <c r="I70" s="6" t="s">
        <v>263</v>
      </c>
      <c r="J70" s="6" t="s">
        <v>150</v>
      </c>
      <c r="K70" s="6" t="s">
        <v>263</v>
      </c>
      <c r="L70" s="6" t="s">
        <v>150</v>
      </c>
      <c r="M70" s="6" t="s">
        <v>263</v>
      </c>
      <c r="N70" s="6" t="s">
        <v>150</v>
      </c>
      <c r="O70" s="6" t="s">
        <v>263</v>
      </c>
      <c r="P70" s="6" t="s">
        <v>150</v>
      </c>
      <c r="Q70" s="6" t="s">
        <v>263</v>
      </c>
      <c r="R70" s="6" t="s">
        <v>150</v>
      </c>
      <c r="S70" s="6" t="s">
        <v>263</v>
      </c>
      <c r="T70" s="6" t="s">
        <v>150</v>
      </c>
      <c r="U70" s="6" t="s">
        <v>263</v>
      </c>
      <c r="V70" s="3" t="s">
        <v>150</v>
      </c>
    </row>
    <row r="71" spans="2:22">
      <c r="B71" s="5" t="s">
        <v>253</v>
      </c>
      <c r="C71" s="6" t="s">
        <v>263</v>
      </c>
      <c r="D71" s="6" t="s">
        <v>166</v>
      </c>
      <c r="E71" s="6" t="s">
        <v>263</v>
      </c>
      <c r="F71" s="6" t="s">
        <v>166</v>
      </c>
      <c r="G71" s="6" t="s">
        <v>263</v>
      </c>
      <c r="H71" s="6" t="s">
        <v>166</v>
      </c>
      <c r="I71" s="6" t="s">
        <v>263</v>
      </c>
      <c r="J71" s="6" t="s">
        <v>166</v>
      </c>
      <c r="K71" s="6" t="s">
        <v>263</v>
      </c>
      <c r="L71" s="6" t="s">
        <v>166</v>
      </c>
      <c r="M71" s="6" t="s">
        <v>263</v>
      </c>
      <c r="N71" s="6" t="s">
        <v>166</v>
      </c>
      <c r="O71" s="6" t="s">
        <v>263</v>
      </c>
      <c r="P71" s="6" t="s">
        <v>166</v>
      </c>
      <c r="Q71" s="6" t="s">
        <v>263</v>
      </c>
      <c r="R71" s="6" t="s">
        <v>166</v>
      </c>
      <c r="S71" s="6" t="s">
        <v>263</v>
      </c>
      <c r="T71" s="6" t="s">
        <v>166</v>
      </c>
      <c r="U71" s="6" t="s">
        <v>263</v>
      </c>
      <c r="V71" s="3" t="s">
        <v>166</v>
      </c>
    </row>
    <row r="72" spans="2:22">
      <c r="B72" s="7" t="s">
        <v>128</v>
      </c>
      <c r="C72" s="23" t="s">
        <v>1</v>
      </c>
      <c r="D72" s="24"/>
      <c r="E72" s="25"/>
      <c r="F72" s="24"/>
      <c r="G72" s="25"/>
      <c r="H72" s="24"/>
      <c r="I72" s="25"/>
      <c r="J72" s="24"/>
      <c r="K72" s="25"/>
      <c r="L72" s="24"/>
      <c r="M72" s="25"/>
      <c r="N72" s="24"/>
      <c r="O72" s="25"/>
      <c r="P72" s="24"/>
      <c r="Q72" s="25"/>
      <c r="R72" s="24"/>
      <c r="S72" s="25"/>
      <c r="T72" s="24"/>
    </row>
    <row r="73" spans="2:22">
      <c r="B73" s="7" t="s">
        <v>2</v>
      </c>
      <c r="C73" s="23" t="s">
        <v>167</v>
      </c>
      <c r="D73" s="22"/>
      <c r="E73" s="23"/>
      <c r="F73" s="22"/>
      <c r="G73" s="23"/>
      <c r="H73" s="22"/>
      <c r="I73" s="23"/>
      <c r="J73" s="22"/>
      <c r="K73" s="23"/>
      <c r="L73" s="22"/>
      <c r="M73" s="23"/>
      <c r="N73" s="22"/>
      <c r="O73" s="23"/>
      <c r="P73" s="22"/>
      <c r="Q73" s="23"/>
      <c r="R73" s="22"/>
      <c r="S73" s="23"/>
      <c r="T73" s="22"/>
    </row>
    <row r="74" spans="2:22">
      <c r="B74" s="8" t="s">
        <v>3</v>
      </c>
      <c r="C74" s="23" t="s">
        <v>69</v>
      </c>
      <c r="D74" s="22"/>
      <c r="E74" s="23"/>
      <c r="F74" s="22"/>
      <c r="G74" s="23"/>
      <c r="H74" s="22"/>
      <c r="I74" s="23"/>
      <c r="J74" s="22"/>
      <c r="K74" s="23"/>
      <c r="L74" s="22"/>
      <c r="M74" s="23"/>
      <c r="N74" s="22"/>
      <c r="O74" s="23"/>
      <c r="P74" s="22"/>
      <c r="Q74" s="23"/>
      <c r="R74" s="22"/>
      <c r="S74" s="23"/>
      <c r="T74" s="22"/>
    </row>
    <row r="75" spans="2:22">
      <c r="B75" s="7" t="s">
        <v>5</v>
      </c>
      <c r="C75" s="23" t="s">
        <v>254</v>
      </c>
      <c r="D75" s="22"/>
      <c r="E75" s="23"/>
      <c r="F75" s="22"/>
      <c r="G75" s="23"/>
      <c r="H75" s="22"/>
      <c r="I75" s="23"/>
      <c r="J75" s="22"/>
      <c r="K75" s="23"/>
      <c r="L75" s="22"/>
      <c r="M75" s="23"/>
      <c r="N75" s="22"/>
      <c r="O75" s="23"/>
      <c r="P75" s="22"/>
      <c r="Q75" s="23"/>
      <c r="R75" s="22"/>
      <c r="S75" s="23"/>
      <c r="T75" s="22"/>
    </row>
    <row r="76" spans="2:22">
      <c r="B76" s="7" t="s">
        <v>7</v>
      </c>
      <c r="C76" s="26" t="s">
        <v>8</v>
      </c>
      <c r="D76" s="22"/>
      <c r="E76" s="23"/>
      <c r="F76" s="22"/>
      <c r="G76" s="23"/>
      <c r="H76" s="22"/>
      <c r="I76" s="23"/>
      <c r="J76" s="22"/>
      <c r="K76" s="23"/>
      <c r="L76" s="22"/>
      <c r="M76" s="23"/>
      <c r="N76" s="22"/>
      <c r="O76" s="23"/>
      <c r="P76" s="22"/>
      <c r="Q76" s="23"/>
      <c r="R76" s="22"/>
      <c r="S76" s="23"/>
      <c r="T76" s="22"/>
    </row>
    <row r="77" spans="2:22">
      <c r="B77" s="7" t="s">
        <v>9</v>
      </c>
      <c r="C77" s="26" t="s">
        <v>10</v>
      </c>
      <c r="D77" s="24"/>
      <c r="E77" s="25"/>
      <c r="F77" s="24"/>
      <c r="G77" s="25"/>
      <c r="H77" s="24"/>
      <c r="I77" s="25"/>
      <c r="J77" s="24"/>
      <c r="K77" s="25"/>
      <c r="L77" s="24"/>
      <c r="M77" s="25"/>
      <c r="N77" s="24"/>
      <c r="O77" s="25"/>
      <c r="P77" s="24"/>
      <c r="Q77" s="25"/>
      <c r="R77" s="24"/>
      <c r="S77" s="25"/>
      <c r="T77" s="24"/>
    </row>
    <row r="78" spans="2:22">
      <c r="B78" s="7" t="s">
        <v>12</v>
      </c>
      <c r="C78" s="26" t="s">
        <v>13</v>
      </c>
      <c r="D78" s="24"/>
      <c r="E78" s="23"/>
      <c r="F78" s="24"/>
      <c r="G78" s="23"/>
      <c r="H78" s="24"/>
      <c r="I78" s="23"/>
      <c r="J78" s="24"/>
      <c r="K78" s="23"/>
      <c r="L78" s="24"/>
      <c r="M78" s="23"/>
      <c r="N78" s="24"/>
      <c r="O78" s="23"/>
      <c r="P78" s="24"/>
      <c r="Q78" s="23"/>
      <c r="R78" s="24"/>
      <c r="S78" s="23"/>
      <c r="T78" s="24"/>
    </row>
    <row r="79" spans="2:22">
      <c r="B79" s="7" t="s">
        <v>14</v>
      </c>
      <c r="C79" s="26" t="s">
        <v>15</v>
      </c>
      <c r="D79" s="24"/>
      <c r="E79" s="23"/>
      <c r="F79" s="24"/>
      <c r="G79" s="23"/>
      <c r="H79" s="24"/>
      <c r="I79" s="23"/>
      <c r="J79" s="24"/>
      <c r="K79" s="23"/>
      <c r="L79" s="24"/>
      <c r="M79" s="23"/>
      <c r="N79" s="24"/>
      <c r="O79" s="23"/>
      <c r="P79" s="24"/>
      <c r="Q79" s="23"/>
      <c r="R79" s="24"/>
      <c r="S79" s="23"/>
      <c r="T79" s="24"/>
    </row>
    <row r="80" spans="2:22">
      <c r="B80" s="7" t="s">
        <v>17</v>
      </c>
      <c r="C80" s="26" t="s">
        <v>18</v>
      </c>
      <c r="D80" s="24"/>
      <c r="E80" s="23"/>
      <c r="F80" s="24"/>
      <c r="G80" s="23"/>
      <c r="H80" s="24"/>
      <c r="I80" s="23"/>
      <c r="J80" s="24"/>
      <c r="K80" s="23"/>
      <c r="L80" s="24"/>
      <c r="M80" s="23"/>
      <c r="N80" s="24"/>
      <c r="O80" s="23"/>
      <c r="P80" s="24"/>
      <c r="Q80" s="23"/>
      <c r="R80" s="24"/>
      <c r="S80" s="23"/>
      <c r="T80" s="24"/>
    </row>
    <row r="81" spans="2:20">
      <c r="B81" s="7" t="s">
        <v>19</v>
      </c>
      <c r="C81" s="26" t="s">
        <v>20</v>
      </c>
      <c r="D81" s="24"/>
      <c r="E81" s="23"/>
      <c r="F81" s="24"/>
      <c r="G81" s="23"/>
      <c r="H81" s="24"/>
      <c r="I81" s="23"/>
      <c r="J81" s="24"/>
      <c r="K81" s="23"/>
      <c r="L81" s="24"/>
      <c r="M81" s="23"/>
      <c r="N81" s="24"/>
      <c r="O81" s="23"/>
      <c r="P81" s="24"/>
      <c r="Q81" s="23"/>
      <c r="R81" s="24"/>
      <c r="S81" s="23"/>
      <c r="T81" s="24"/>
    </row>
    <row r="82" spans="2:20">
      <c r="B82" s="7" t="s">
        <v>21</v>
      </c>
      <c r="C82" s="26" t="s">
        <v>22</v>
      </c>
      <c r="D82" s="24"/>
      <c r="E82" s="25"/>
      <c r="F82" s="24"/>
      <c r="G82" s="25"/>
      <c r="H82" s="24"/>
      <c r="I82" s="25"/>
      <c r="J82" s="24"/>
      <c r="K82" s="25"/>
      <c r="L82" s="24"/>
      <c r="M82" s="25"/>
      <c r="N82" s="24"/>
      <c r="O82" s="25"/>
      <c r="P82" s="24"/>
      <c r="Q82" s="25"/>
      <c r="R82" s="24"/>
      <c r="S82" s="25"/>
      <c r="T82" s="24"/>
    </row>
    <row r="83" spans="2:20">
      <c r="B83" s="7" t="s">
        <v>23</v>
      </c>
      <c r="C83" s="26" t="s">
        <v>24</v>
      </c>
      <c r="D83" s="24"/>
      <c r="E83" s="23"/>
      <c r="F83" s="24"/>
      <c r="G83" s="23"/>
      <c r="H83" s="24"/>
      <c r="I83" s="23"/>
      <c r="J83" s="24"/>
      <c r="K83" s="23"/>
      <c r="L83" s="24"/>
      <c r="M83" s="23"/>
      <c r="N83" s="24"/>
      <c r="O83" s="23"/>
      <c r="P83" s="24"/>
      <c r="Q83" s="23"/>
      <c r="R83" s="24"/>
      <c r="S83" s="23"/>
      <c r="T83" s="24"/>
    </row>
    <row r="84" spans="2:20">
      <c r="B84" s="7" t="s">
        <v>25</v>
      </c>
      <c r="C84" s="26" t="s">
        <v>26</v>
      </c>
      <c r="D84" s="24"/>
      <c r="E84" s="23"/>
      <c r="F84" s="24"/>
      <c r="G84" s="23"/>
      <c r="H84" s="24"/>
      <c r="I84" s="23"/>
      <c r="J84" s="24"/>
      <c r="K84" s="23"/>
      <c r="L84" s="24"/>
      <c r="M84" s="23"/>
      <c r="N84" s="24"/>
      <c r="O84" s="23"/>
      <c r="P84" s="24"/>
      <c r="Q84" s="23"/>
      <c r="R84" s="24"/>
      <c r="S84" s="23"/>
      <c r="T84" s="24"/>
    </row>
    <row r="85" spans="2:20">
      <c r="B85" s="7" t="s">
        <v>27</v>
      </c>
      <c r="C85" s="26" t="s">
        <v>28</v>
      </c>
      <c r="D85" s="24"/>
      <c r="E85" s="23"/>
      <c r="F85" s="24"/>
      <c r="G85" s="23"/>
      <c r="H85" s="24"/>
      <c r="I85" s="23"/>
      <c r="J85" s="24"/>
      <c r="K85" s="23"/>
      <c r="L85" s="24"/>
      <c r="M85" s="23"/>
      <c r="N85" s="24"/>
      <c r="O85" s="23"/>
      <c r="P85" s="24"/>
      <c r="Q85" s="23"/>
      <c r="R85" s="24"/>
      <c r="S85" s="23"/>
      <c r="T85" s="24"/>
    </row>
    <row r="86" spans="2:20">
      <c r="B86" s="7" t="s">
        <v>29</v>
      </c>
      <c r="C86" s="26" t="s">
        <v>30</v>
      </c>
      <c r="D86" s="24"/>
      <c r="E86" s="23"/>
      <c r="F86" s="24"/>
      <c r="G86" s="23"/>
      <c r="H86" s="24"/>
      <c r="I86" s="23"/>
      <c r="J86" s="24"/>
      <c r="K86" s="23"/>
      <c r="L86" s="24"/>
      <c r="M86" s="23"/>
      <c r="N86" s="24"/>
      <c r="O86" s="23"/>
      <c r="P86" s="24"/>
      <c r="Q86" s="23"/>
      <c r="R86" s="24"/>
      <c r="S86" s="23"/>
      <c r="T86" s="24"/>
    </row>
    <row r="87" spans="2:20">
      <c r="B87" s="7" t="s">
        <v>31</v>
      </c>
      <c r="C87" s="26" t="s">
        <v>175</v>
      </c>
      <c r="D87" s="24"/>
      <c r="E87" s="23"/>
      <c r="F87" s="24"/>
      <c r="G87" s="23"/>
      <c r="H87" s="24"/>
      <c r="I87" s="23"/>
      <c r="J87" s="24"/>
      <c r="K87" s="23"/>
      <c r="L87" s="24"/>
      <c r="M87" s="23"/>
      <c r="N87" s="24"/>
      <c r="O87" s="23"/>
      <c r="P87" s="24"/>
      <c r="Q87" s="23"/>
      <c r="R87" s="24"/>
      <c r="S87" s="23"/>
      <c r="T87" s="24"/>
    </row>
    <row r="88" spans="2:20">
      <c r="B88" s="7" t="s">
        <v>32</v>
      </c>
      <c r="C88" s="12" t="s">
        <v>33</v>
      </c>
      <c r="D88" s="24"/>
      <c r="E88" s="23"/>
      <c r="F88" s="24"/>
      <c r="G88" s="23"/>
      <c r="H88" s="24"/>
      <c r="I88" s="23"/>
      <c r="J88" s="24"/>
      <c r="K88" s="23"/>
      <c r="L88" s="24"/>
      <c r="M88" s="23"/>
      <c r="N88" s="24"/>
      <c r="O88" s="23"/>
      <c r="P88" s="24"/>
      <c r="Q88" s="23"/>
      <c r="R88" s="24"/>
      <c r="S88" s="23"/>
      <c r="T88" s="24"/>
    </row>
    <row r="89" spans="2:20">
      <c r="B89" s="7" t="s">
        <v>34</v>
      </c>
      <c r="C89" s="12" t="s">
        <v>35</v>
      </c>
      <c r="D89" s="24"/>
      <c r="E89" s="25"/>
      <c r="F89" s="24"/>
      <c r="G89" s="25"/>
      <c r="H89" s="24"/>
      <c r="I89" s="25"/>
      <c r="J89" s="24"/>
      <c r="K89" s="25"/>
      <c r="L89" s="24"/>
      <c r="M89" s="25"/>
      <c r="N89" s="24"/>
      <c r="O89" s="25"/>
      <c r="P89" s="24"/>
      <c r="Q89" s="25"/>
      <c r="R89" s="24"/>
      <c r="S89" s="25"/>
      <c r="T89" s="24"/>
    </row>
    <row r="90" spans="2:20">
      <c r="B90" s="7" t="s">
        <v>37</v>
      </c>
      <c r="C90" s="12" t="s">
        <v>38</v>
      </c>
      <c r="D90" s="24"/>
      <c r="E90" s="23"/>
      <c r="F90" s="24"/>
      <c r="G90" s="23"/>
      <c r="H90" s="24"/>
      <c r="I90" s="23"/>
      <c r="J90" s="24"/>
      <c r="K90" s="23"/>
      <c r="L90" s="24"/>
      <c r="M90" s="23"/>
      <c r="N90" s="24"/>
      <c r="O90" s="23"/>
      <c r="P90" s="24"/>
      <c r="Q90" s="23"/>
      <c r="R90" s="24"/>
      <c r="S90" s="23"/>
      <c r="T90" s="24"/>
    </row>
    <row r="91" spans="2:20">
      <c r="B91" s="7" t="s">
        <v>39</v>
      </c>
      <c r="C91" s="12" t="s">
        <v>168</v>
      </c>
      <c r="D91" s="24"/>
      <c r="E91" s="23"/>
      <c r="F91" s="24"/>
      <c r="G91" s="23"/>
      <c r="H91" s="24"/>
      <c r="I91" s="23"/>
      <c r="J91" s="24"/>
      <c r="K91" s="23"/>
      <c r="L91" s="24"/>
      <c r="M91" s="23"/>
      <c r="N91" s="24"/>
      <c r="O91" s="23"/>
      <c r="P91" s="24"/>
      <c r="Q91" s="23"/>
      <c r="R91" s="24"/>
      <c r="S91" s="23"/>
      <c r="T91" s="24"/>
    </row>
    <row r="92" spans="2:20">
      <c r="B92" s="7" t="s">
        <v>40</v>
      </c>
      <c r="C92" s="12" t="s">
        <v>41</v>
      </c>
      <c r="D92" s="24"/>
      <c r="E92" s="23"/>
      <c r="F92" s="24"/>
      <c r="G92" s="23"/>
      <c r="H92" s="24"/>
      <c r="I92" s="23"/>
      <c r="J92" s="24"/>
      <c r="K92" s="23"/>
      <c r="L92" s="24"/>
      <c r="M92" s="23"/>
      <c r="N92" s="24"/>
      <c r="O92" s="23"/>
      <c r="P92" s="24"/>
      <c r="Q92" s="23"/>
      <c r="R92" s="24"/>
      <c r="S92" s="23"/>
      <c r="T92" s="24"/>
    </row>
    <row r="93" spans="2:20">
      <c r="B93" s="7" t="s">
        <v>42</v>
      </c>
      <c r="C93" s="12" t="s">
        <v>43</v>
      </c>
      <c r="D93" s="24"/>
      <c r="E93" s="23"/>
      <c r="F93" s="24"/>
      <c r="G93" s="23"/>
      <c r="H93" s="24"/>
      <c r="I93" s="23"/>
      <c r="J93" s="24"/>
      <c r="K93" s="23"/>
      <c r="L93" s="24"/>
      <c r="M93" s="23"/>
      <c r="N93" s="24"/>
      <c r="O93" s="23"/>
      <c r="P93" s="24"/>
      <c r="Q93" s="23"/>
      <c r="R93" s="24"/>
      <c r="S93" s="23"/>
      <c r="T93" s="24"/>
    </row>
    <row r="94" spans="2:20">
      <c r="B94" s="7" t="s">
        <v>45</v>
      </c>
      <c r="C94" s="12" t="s">
        <v>46</v>
      </c>
      <c r="D94" s="24"/>
      <c r="E94" s="25"/>
      <c r="F94" s="24"/>
      <c r="G94" s="25"/>
      <c r="H94" s="24"/>
      <c r="I94" s="25"/>
      <c r="J94" s="24"/>
      <c r="K94" s="25"/>
      <c r="L94" s="24"/>
      <c r="M94" s="25"/>
      <c r="N94" s="24"/>
      <c r="O94" s="25"/>
      <c r="P94" s="24"/>
      <c r="Q94" s="25"/>
      <c r="R94" s="24"/>
      <c r="S94" s="25"/>
      <c r="T94" s="24"/>
    </row>
    <row r="95" spans="2:20">
      <c r="B95" s="7" t="s">
        <v>47</v>
      </c>
      <c r="C95" s="12" t="s">
        <v>48</v>
      </c>
      <c r="D95" s="24"/>
      <c r="E95" s="25"/>
      <c r="F95" s="24"/>
      <c r="G95" s="25"/>
      <c r="H95" s="24"/>
      <c r="I95" s="25"/>
      <c r="J95" s="24"/>
      <c r="K95" s="25"/>
      <c r="L95" s="24"/>
      <c r="M95" s="25"/>
      <c r="N95" s="24"/>
      <c r="O95" s="25"/>
      <c r="P95" s="24"/>
      <c r="Q95" s="25"/>
      <c r="R95" s="24"/>
      <c r="S95" s="25"/>
      <c r="T95" s="24"/>
    </row>
    <row r="96" spans="2:20">
      <c r="B96" s="7" t="s">
        <v>50</v>
      </c>
      <c r="C96" s="12" t="s">
        <v>169</v>
      </c>
      <c r="D96" s="24"/>
      <c r="E96" s="25"/>
      <c r="F96" s="24"/>
      <c r="G96" s="25"/>
      <c r="H96" s="24"/>
      <c r="I96" s="25"/>
      <c r="J96" s="24"/>
      <c r="K96" s="25"/>
      <c r="L96" s="24"/>
      <c r="M96" s="25"/>
      <c r="N96" s="24"/>
      <c r="O96" s="25"/>
      <c r="P96" s="24"/>
      <c r="Q96" s="25"/>
      <c r="R96" s="24"/>
      <c r="S96" s="25"/>
      <c r="T96" s="24"/>
    </row>
    <row r="97" spans="2:20">
      <c r="B97" s="7" t="s">
        <v>51</v>
      </c>
      <c r="C97" s="12" t="s">
        <v>52</v>
      </c>
      <c r="D97" s="22"/>
      <c r="E97" s="23"/>
      <c r="F97" s="22"/>
      <c r="G97" s="23"/>
      <c r="H97" s="22"/>
      <c r="I97" s="23"/>
      <c r="J97" s="22"/>
      <c r="K97" s="23"/>
      <c r="L97" s="22"/>
      <c r="M97" s="23"/>
      <c r="N97" s="22"/>
      <c r="O97" s="23"/>
      <c r="P97" s="22"/>
      <c r="Q97" s="23"/>
      <c r="R97" s="22"/>
      <c r="S97" s="23"/>
      <c r="T97" s="22"/>
    </row>
    <row r="98" spans="2:20">
      <c r="B98" s="7" t="s">
        <v>53</v>
      </c>
      <c r="C98" s="12" t="s">
        <v>54</v>
      </c>
      <c r="D98" s="22"/>
      <c r="E98" s="23"/>
      <c r="F98" s="22"/>
      <c r="G98" s="23"/>
      <c r="H98" s="22"/>
      <c r="I98" s="23"/>
      <c r="J98" s="22"/>
      <c r="K98" s="23"/>
      <c r="L98" s="22"/>
      <c r="M98" s="23"/>
      <c r="N98" s="22"/>
      <c r="O98" s="23"/>
      <c r="P98" s="22"/>
      <c r="Q98" s="23"/>
      <c r="R98" s="22"/>
      <c r="S98" s="23"/>
      <c r="T98" s="22"/>
    </row>
    <row r="99" spans="2:20">
      <c r="B99" s="7" t="s">
        <v>55</v>
      </c>
      <c r="C99" s="12" t="s">
        <v>56</v>
      </c>
      <c r="D99" s="22"/>
      <c r="E99" s="23"/>
      <c r="F99" s="22"/>
      <c r="G99" s="23"/>
      <c r="H99" s="22"/>
      <c r="I99" s="23"/>
      <c r="J99" s="22"/>
      <c r="K99" s="23"/>
      <c r="L99" s="22"/>
      <c r="M99" s="23"/>
      <c r="N99" s="22"/>
      <c r="O99" s="23"/>
      <c r="P99" s="22"/>
      <c r="Q99" s="23"/>
      <c r="R99" s="22"/>
      <c r="S99" s="23"/>
      <c r="T99" s="22"/>
    </row>
    <row r="100" spans="2:20">
      <c r="B100" s="7" t="s">
        <v>57</v>
      </c>
      <c r="C100" s="12" t="s">
        <v>58</v>
      </c>
      <c r="D100" s="22"/>
      <c r="E100" s="23"/>
      <c r="F100" s="22"/>
      <c r="G100" s="23"/>
      <c r="H100" s="22"/>
      <c r="I100" s="23"/>
      <c r="J100" s="22"/>
      <c r="K100" s="23"/>
      <c r="L100" s="22"/>
      <c r="M100" s="23"/>
      <c r="N100" s="22"/>
      <c r="O100" s="23"/>
      <c r="P100" s="22"/>
      <c r="Q100" s="23"/>
      <c r="R100" s="22"/>
      <c r="S100" s="23"/>
      <c r="T100" s="22"/>
    </row>
    <row r="101" spans="2:20">
      <c r="B101" s="7" t="s">
        <v>59</v>
      </c>
      <c r="C101" s="12" t="s">
        <v>60</v>
      </c>
      <c r="D101" s="22"/>
      <c r="E101" s="23"/>
      <c r="F101" s="22"/>
      <c r="G101" s="23"/>
      <c r="H101" s="22"/>
      <c r="I101" s="23"/>
      <c r="J101" s="22"/>
      <c r="K101" s="23"/>
      <c r="L101" s="22"/>
      <c r="M101" s="23"/>
      <c r="N101" s="22"/>
      <c r="O101" s="23"/>
      <c r="P101" s="22"/>
      <c r="Q101" s="23"/>
      <c r="R101" s="22"/>
      <c r="S101" s="23"/>
      <c r="T101" s="22"/>
    </row>
    <row r="102" spans="2:20">
      <c r="B102" s="7" t="s">
        <v>53</v>
      </c>
      <c r="C102" s="12" t="s">
        <v>54</v>
      </c>
      <c r="D102" s="22"/>
      <c r="E102" s="23"/>
      <c r="F102" s="22"/>
      <c r="G102" s="23"/>
      <c r="H102" s="22"/>
      <c r="I102" s="23"/>
      <c r="J102" s="22"/>
      <c r="K102" s="23"/>
      <c r="L102" s="22"/>
      <c r="M102" s="23"/>
      <c r="N102" s="22"/>
      <c r="O102" s="23"/>
      <c r="P102" s="22"/>
      <c r="Q102" s="23"/>
      <c r="R102" s="22"/>
      <c r="S102" s="23"/>
      <c r="T102" s="22"/>
    </row>
    <row r="103" spans="2:20">
      <c r="B103" s="7" t="s">
        <v>255</v>
      </c>
      <c r="C103" s="12" t="s">
        <v>61</v>
      </c>
      <c r="D103" s="22"/>
      <c r="E103" s="23"/>
      <c r="F103" s="22"/>
      <c r="G103" s="23"/>
      <c r="H103" s="22"/>
      <c r="I103" s="23"/>
      <c r="J103" s="22"/>
      <c r="K103" s="23"/>
      <c r="L103" s="22"/>
      <c r="M103" s="23"/>
      <c r="N103" s="22"/>
      <c r="O103" s="23"/>
      <c r="P103" s="22"/>
      <c r="Q103" s="23"/>
      <c r="R103" s="22"/>
      <c r="S103" s="23"/>
      <c r="T103" s="22"/>
    </row>
    <row r="104" spans="2:20">
      <c r="B104" s="7" t="s">
        <v>62</v>
      </c>
      <c r="C104" s="12" t="s">
        <v>340</v>
      </c>
      <c r="D104" s="22"/>
      <c r="E104" s="23"/>
      <c r="F104" s="22"/>
      <c r="G104" s="23"/>
      <c r="H104" s="22"/>
      <c r="I104" s="23"/>
      <c r="J104" s="22"/>
      <c r="K104" s="23"/>
      <c r="L104" s="22"/>
      <c r="M104" s="23"/>
      <c r="N104" s="22"/>
      <c r="O104" s="23"/>
      <c r="P104" s="22"/>
      <c r="Q104" s="23"/>
      <c r="R104" s="22"/>
      <c r="S104" s="23"/>
      <c r="T104" s="22"/>
    </row>
    <row r="105" spans="2:20">
      <c r="B105" s="7" t="s">
        <v>126</v>
      </c>
      <c r="C105" s="12" t="s">
        <v>170</v>
      </c>
      <c r="D105" s="22"/>
      <c r="E105" s="23"/>
      <c r="F105" s="22"/>
      <c r="G105" s="23"/>
      <c r="H105" s="22"/>
      <c r="I105" s="23"/>
      <c r="J105" s="22"/>
      <c r="K105" s="23"/>
      <c r="L105" s="22"/>
      <c r="M105" s="23"/>
      <c r="N105" s="22"/>
      <c r="O105" s="23"/>
      <c r="P105" s="22"/>
      <c r="Q105" s="23"/>
      <c r="R105" s="22"/>
      <c r="S105" s="23"/>
      <c r="T105" s="22"/>
    </row>
    <row r="106" spans="2:20">
      <c r="B106" s="9" t="s">
        <v>63</v>
      </c>
      <c r="C106" s="12" t="s">
        <v>341</v>
      </c>
      <c r="D106" s="22"/>
      <c r="E106" s="23"/>
      <c r="F106" s="22"/>
      <c r="G106" s="23"/>
      <c r="H106" s="22"/>
      <c r="I106" s="23"/>
      <c r="J106" s="22"/>
      <c r="K106" s="23"/>
      <c r="L106" s="22"/>
      <c r="M106" s="23"/>
      <c r="N106" s="22"/>
      <c r="O106" s="23"/>
      <c r="P106" s="22"/>
      <c r="Q106" s="23"/>
      <c r="R106" s="22"/>
      <c r="S106" s="23"/>
      <c r="T106" s="22"/>
    </row>
    <row r="107" spans="2:20">
      <c r="B107" s="9" t="s">
        <v>64</v>
      </c>
      <c r="C107" s="12" t="s">
        <v>65</v>
      </c>
      <c r="D107" s="22"/>
      <c r="E107" s="23"/>
      <c r="F107" s="22"/>
      <c r="G107" s="23"/>
      <c r="H107" s="22"/>
      <c r="I107" s="23"/>
      <c r="J107" s="22"/>
      <c r="K107" s="23"/>
      <c r="L107" s="22"/>
      <c r="M107" s="23"/>
      <c r="N107" s="22"/>
      <c r="O107" s="23"/>
      <c r="P107" s="22"/>
      <c r="Q107" s="23"/>
      <c r="R107" s="22"/>
      <c r="S107" s="23"/>
      <c r="T107" s="22"/>
    </row>
    <row r="108" spans="2:20">
      <c r="B108" s="9" t="s">
        <v>66</v>
      </c>
      <c r="C108" s="12" t="s">
        <v>67</v>
      </c>
      <c r="D108" s="22"/>
      <c r="E108" s="23"/>
      <c r="F108" s="22"/>
      <c r="G108" s="23"/>
      <c r="H108" s="22"/>
      <c r="I108" s="23"/>
      <c r="J108" s="22"/>
      <c r="K108" s="23"/>
      <c r="L108" s="22"/>
      <c r="M108" s="23"/>
      <c r="N108" s="22"/>
      <c r="O108" s="23"/>
      <c r="P108" s="22"/>
      <c r="Q108" s="23"/>
      <c r="R108" s="22"/>
      <c r="S108" s="23"/>
      <c r="T108" s="22"/>
    </row>
    <row r="109" spans="2:20">
      <c r="B109" s="9" t="s">
        <v>68</v>
      </c>
      <c r="C109" s="12" t="s">
        <v>69</v>
      </c>
      <c r="D109" s="22"/>
      <c r="E109" s="23"/>
      <c r="F109" s="22"/>
      <c r="G109" s="23"/>
      <c r="H109" s="22"/>
      <c r="I109" s="23"/>
      <c r="J109" s="22"/>
      <c r="K109" s="23"/>
      <c r="L109" s="22"/>
      <c r="M109" s="23"/>
      <c r="N109" s="22"/>
      <c r="O109" s="23"/>
      <c r="P109" s="22"/>
      <c r="Q109" s="23"/>
      <c r="R109" s="22"/>
      <c r="S109" s="23"/>
      <c r="T109" s="22"/>
    </row>
    <row r="110" spans="2:20">
      <c r="B110" s="9" t="s">
        <v>70</v>
      </c>
      <c r="C110" s="12" t="s">
        <v>71</v>
      </c>
      <c r="D110" s="22"/>
      <c r="E110" s="23"/>
      <c r="F110" s="22"/>
      <c r="G110" s="23"/>
      <c r="H110" s="22"/>
      <c r="I110" s="23"/>
      <c r="J110" s="22"/>
      <c r="K110" s="23"/>
      <c r="L110" s="22"/>
      <c r="M110" s="23"/>
      <c r="N110" s="22"/>
      <c r="O110" s="23"/>
      <c r="P110" s="22"/>
      <c r="Q110" s="23"/>
      <c r="R110" s="22"/>
      <c r="S110" s="23"/>
      <c r="T110" s="22"/>
    </row>
    <row r="111" spans="2:20">
      <c r="B111" s="9" t="s">
        <v>72</v>
      </c>
      <c r="C111" s="12" t="s">
        <v>73</v>
      </c>
      <c r="D111" s="22"/>
      <c r="E111" s="23"/>
      <c r="F111" s="22"/>
      <c r="G111" s="23"/>
      <c r="H111" s="22"/>
      <c r="I111" s="23"/>
      <c r="J111" s="22"/>
      <c r="K111" s="23"/>
      <c r="L111" s="22"/>
      <c r="M111" s="23"/>
      <c r="N111" s="22"/>
      <c r="O111" s="23"/>
      <c r="P111" s="22"/>
      <c r="Q111" s="23"/>
      <c r="R111" s="22"/>
      <c r="S111" s="23"/>
      <c r="T111" s="22"/>
    </row>
    <row r="112" spans="2:20">
      <c r="B112" s="9" t="s">
        <v>129</v>
      </c>
      <c r="C112" s="12" t="s">
        <v>179</v>
      </c>
      <c r="D112" s="24"/>
      <c r="E112" s="25"/>
      <c r="F112" s="24"/>
      <c r="G112" s="25"/>
      <c r="H112" s="24"/>
      <c r="I112" s="25"/>
      <c r="J112" s="24"/>
      <c r="K112" s="25"/>
      <c r="L112" s="24"/>
      <c r="M112" s="25"/>
      <c r="N112" s="24"/>
      <c r="O112" s="25"/>
      <c r="P112" s="24"/>
      <c r="Q112" s="25"/>
      <c r="R112" s="24"/>
      <c r="S112" s="25"/>
      <c r="T112" s="24"/>
    </row>
    <row r="113" spans="2:20">
      <c r="B113" s="9" t="s">
        <v>75</v>
      </c>
      <c r="C113" s="12" t="s">
        <v>76</v>
      </c>
      <c r="D113" s="22"/>
      <c r="E113" s="23"/>
      <c r="F113" s="22"/>
      <c r="G113" s="23"/>
      <c r="H113" s="22"/>
      <c r="I113" s="23"/>
      <c r="J113" s="22"/>
      <c r="K113" s="23"/>
      <c r="L113" s="22"/>
      <c r="M113" s="23"/>
      <c r="N113" s="22"/>
      <c r="O113" s="23"/>
      <c r="P113" s="22"/>
      <c r="Q113" s="23"/>
      <c r="R113" s="22"/>
      <c r="S113" s="23"/>
      <c r="T113" s="22"/>
    </row>
    <row r="114" spans="2:20">
      <c r="B114" s="9" t="s">
        <v>77</v>
      </c>
      <c r="C114" s="12" t="s">
        <v>78</v>
      </c>
      <c r="D114" s="22"/>
      <c r="E114" s="23"/>
      <c r="F114" s="22"/>
      <c r="G114" s="23"/>
      <c r="H114" s="22"/>
      <c r="I114" s="23"/>
      <c r="J114" s="22"/>
      <c r="K114" s="23"/>
      <c r="L114" s="22"/>
      <c r="M114" s="23"/>
      <c r="N114" s="22"/>
      <c r="O114" s="23"/>
      <c r="P114" s="22"/>
      <c r="Q114" s="23"/>
      <c r="R114" s="22"/>
      <c r="S114" s="23"/>
      <c r="T114" s="22"/>
    </row>
    <row r="115" spans="2:20">
      <c r="B115" s="9" t="s">
        <v>79</v>
      </c>
      <c r="C115" s="12" t="s">
        <v>151</v>
      </c>
      <c r="D115" s="22"/>
      <c r="E115" s="23"/>
      <c r="F115" s="22"/>
      <c r="G115" s="23"/>
      <c r="H115" s="22"/>
      <c r="I115" s="23"/>
      <c r="J115" s="22"/>
      <c r="K115" s="23"/>
      <c r="L115" s="22"/>
      <c r="M115" s="23"/>
      <c r="N115" s="22"/>
      <c r="O115" s="23"/>
      <c r="P115" s="22"/>
      <c r="Q115" s="23"/>
      <c r="R115" s="22"/>
      <c r="S115" s="23"/>
      <c r="T115" s="22"/>
    </row>
    <row r="116" spans="2:20">
      <c r="B116" s="9" t="s">
        <v>80</v>
      </c>
      <c r="C116" s="12" t="s">
        <v>81</v>
      </c>
      <c r="D116" s="22"/>
      <c r="E116" s="23"/>
      <c r="F116" s="22"/>
      <c r="G116" s="23"/>
      <c r="H116" s="22"/>
      <c r="I116" s="23"/>
      <c r="J116" s="22"/>
      <c r="K116" s="23"/>
      <c r="L116" s="22"/>
      <c r="M116" s="23"/>
      <c r="N116" s="22"/>
      <c r="O116" s="23"/>
      <c r="P116" s="22"/>
      <c r="Q116" s="23"/>
      <c r="R116" s="22"/>
      <c r="S116" s="23"/>
      <c r="T116" s="22"/>
    </row>
    <row r="117" spans="2:20">
      <c r="B117" s="9" t="s">
        <v>82</v>
      </c>
      <c r="C117" s="12" t="s">
        <v>83</v>
      </c>
      <c r="D117" s="22"/>
      <c r="E117" s="23"/>
      <c r="F117" s="22"/>
      <c r="G117" s="23"/>
      <c r="H117" s="22"/>
      <c r="I117" s="23"/>
      <c r="J117" s="22"/>
      <c r="K117" s="23"/>
      <c r="L117" s="22"/>
      <c r="M117" s="23"/>
      <c r="N117" s="22"/>
      <c r="O117" s="23"/>
      <c r="P117" s="22"/>
      <c r="Q117" s="23"/>
      <c r="R117" s="22"/>
      <c r="S117" s="23"/>
      <c r="T117" s="22"/>
    </row>
    <row r="118" spans="2:20">
      <c r="B118" s="9" t="s">
        <v>84</v>
      </c>
      <c r="C118" s="12" t="s">
        <v>85</v>
      </c>
      <c r="D118" s="24"/>
      <c r="E118" s="25"/>
      <c r="F118" s="24"/>
      <c r="G118" s="25"/>
      <c r="H118" s="24"/>
      <c r="I118" s="25"/>
      <c r="J118" s="24"/>
      <c r="K118" s="25"/>
      <c r="L118" s="24"/>
      <c r="M118" s="25"/>
      <c r="N118" s="24"/>
      <c r="O118" s="25"/>
      <c r="P118" s="24"/>
      <c r="Q118" s="25"/>
      <c r="R118" s="24"/>
      <c r="S118" s="25"/>
      <c r="T118" s="24"/>
    </row>
    <row r="119" spans="2:20">
      <c r="B119" s="9" t="s">
        <v>86</v>
      </c>
      <c r="C119" s="12" t="s">
        <v>342</v>
      </c>
      <c r="D119" s="22"/>
      <c r="E119" s="23"/>
      <c r="F119" s="22"/>
      <c r="G119" s="23"/>
      <c r="H119" s="22"/>
      <c r="I119" s="23"/>
      <c r="J119" s="22"/>
      <c r="K119" s="23"/>
      <c r="L119" s="22"/>
      <c r="M119" s="23"/>
      <c r="N119" s="22"/>
      <c r="O119" s="23"/>
      <c r="P119" s="22"/>
      <c r="Q119" s="23"/>
      <c r="R119" s="22"/>
      <c r="S119" s="23"/>
      <c r="T119" s="22"/>
    </row>
    <row r="120" spans="2:20">
      <c r="B120" s="9" t="s">
        <v>130</v>
      </c>
      <c r="C120" s="12" t="s">
        <v>180</v>
      </c>
      <c r="D120" s="22"/>
      <c r="E120" s="23"/>
      <c r="F120" s="22"/>
      <c r="G120" s="23"/>
      <c r="H120" s="22"/>
      <c r="I120" s="23"/>
      <c r="J120" s="22"/>
      <c r="K120" s="23"/>
      <c r="L120" s="22"/>
      <c r="M120" s="23"/>
      <c r="N120" s="22"/>
      <c r="O120" s="23"/>
      <c r="P120" s="22"/>
      <c r="Q120" s="23"/>
      <c r="R120" s="22"/>
      <c r="S120" s="23"/>
      <c r="T120" s="22"/>
    </row>
    <row r="121" spans="2:20">
      <c r="B121" s="9" t="s">
        <v>87</v>
      </c>
      <c r="C121" s="12" t="s">
        <v>88</v>
      </c>
      <c r="D121" s="22"/>
      <c r="E121" s="23"/>
      <c r="F121" s="22"/>
      <c r="G121" s="23"/>
      <c r="H121" s="22"/>
      <c r="I121" s="23"/>
      <c r="J121" s="22"/>
      <c r="K121" s="23"/>
      <c r="L121" s="22"/>
      <c r="M121" s="23"/>
      <c r="N121" s="22"/>
      <c r="O121" s="23"/>
      <c r="P121" s="22"/>
      <c r="Q121" s="23"/>
      <c r="R121" s="22"/>
      <c r="S121" s="23"/>
      <c r="T121" s="22"/>
    </row>
    <row r="122" spans="2:20">
      <c r="B122" s="9" t="s">
        <v>89</v>
      </c>
      <c r="C122" s="12" t="s">
        <v>90</v>
      </c>
      <c r="D122" s="22"/>
      <c r="E122" s="23"/>
      <c r="F122" s="22"/>
      <c r="G122" s="23"/>
      <c r="H122" s="22"/>
      <c r="I122" s="23"/>
      <c r="J122" s="22"/>
      <c r="K122" s="23"/>
      <c r="L122" s="22"/>
      <c r="M122" s="23"/>
      <c r="N122" s="22"/>
      <c r="O122" s="23"/>
      <c r="P122" s="22"/>
      <c r="Q122" s="23"/>
      <c r="R122" s="22"/>
      <c r="S122" s="23"/>
      <c r="T122" s="22"/>
    </row>
    <row r="123" spans="2:20">
      <c r="B123" s="9" t="s">
        <v>91</v>
      </c>
      <c r="C123" s="12" t="s">
        <v>92</v>
      </c>
      <c r="D123" s="22"/>
      <c r="E123" s="23"/>
      <c r="F123" s="22"/>
      <c r="G123" s="23"/>
      <c r="H123" s="22"/>
      <c r="I123" s="23"/>
      <c r="J123" s="22"/>
      <c r="K123" s="23"/>
      <c r="L123" s="22"/>
      <c r="M123" s="23"/>
      <c r="N123" s="22"/>
      <c r="O123" s="23"/>
      <c r="P123" s="22"/>
      <c r="Q123" s="23"/>
      <c r="R123" s="22"/>
      <c r="S123" s="23"/>
      <c r="T123" s="22"/>
    </row>
    <row r="124" spans="2:20">
      <c r="B124" s="9" t="s">
        <v>93</v>
      </c>
      <c r="C124" s="12" t="s">
        <v>94</v>
      </c>
      <c r="D124" s="24"/>
      <c r="E124" s="25"/>
      <c r="F124" s="24"/>
      <c r="G124" s="25"/>
      <c r="H124" s="24"/>
      <c r="I124" s="25"/>
      <c r="J124" s="24"/>
      <c r="K124" s="25"/>
      <c r="L124" s="24"/>
      <c r="M124" s="25"/>
      <c r="N124" s="24"/>
      <c r="O124" s="25"/>
      <c r="P124" s="24"/>
      <c r="Q124" s="25"/>
      <c r="R124" s="24"/>
      <c r="S124" s="25"/>
      <c r="T124" s="24"/>
    </row>
    <row r="125" spans="2:20">
      <c r="B125" s="9" t="s">
        <v>95</v>
      </c>
      <c r="C125" s="12" t="s">
        <v>96</v>
      </c>
      <c r="D125" s="24"/>
      <c r="E125" s="25"/>
      <c r="F125" s="24"/>
      <c r="G125" s="25"/>
      <c r="H125" s="24"/>
      <c r="I125" s="25"/>
      <c r="J125" s="24"/>
      <c r="K125" s="25"/>
      <c r="L125" s="24"/>
      <c r="M125" s="25"/>
      <c r="N125" s="24"/>
      <c r="O125" s="25"/>
      <c r="P125" s="24"/>
      <c r="Q125" s="25"/>
      <c r="R125" s="24"/>
      <c r="S125" s="25"/>
      <c r="T125" s="24"/>
    </row>
    <row r="126" spans="2:20">
      <c r="B126" s="9" t="s">
        <v>97</v>
      </c>
      <c r="C126" s="12" t="s">
        <v>98</v>
      </c>
      <c r="D126" s="24"/>
      <c r="E126" s="25"/>
      <c r="F126" s="24"/>
      <c r="G126" s="25"/>
      <c r="H126" s="24"/>
      <c r="I126" s="25"/>
      <c r="J126" s="24"/>
      <c r="K126" s="25"/>
      <c r="L126" s="24"/>
      <c r="M126" s="25"/>
      <c r="N126" s="24"/>
      <c r="O126" s="25"/>
      <c r="P126" s="24"/>
      <c r="Q126" s="25"/>
      <c r="R126" s="24"/>
      <c r="S126" s="25"/>
      <c r="T126" s="24"/>
    </row>
    <row r="127" spans="2:20">
      <c r="B127" s="9" t="s">
        <v>100</v>
      </c>
      <c r="C127" s="12" t="s">
        <v>101</v>
      </c>
      <c r="D127" s="24"/>
      <c r="E127" s="25"/>
      <c r="F127" s="24"/>
      <c r="G127" s="25"/>
      <c r="H127" s="24"/>
      <c r="I127" s="25"/>
      <c r="J127" s="24"/>
      <c r="K127" s="25"/>
      <c r="L127" s="24"/>
      <c r="M127" s="25"/>
      <c r="N127" s="24"/>
      <c r="O127" s="25"/>
      <c r="P127" s="24"/>
      <c r="Q127" s="25"/>
      <c r="R127" s="24"/>
      <c r="S127" s="25"/>
      <c r="T127" s="24"/>
    </row>
    <row r="128" spans="2:20">
      <c r="B128" s="9" t="s">
        <v>102</v>
      </c>
      <c r="C128" s="12" t="s">
        <v>103</v>
      </c>
      <c r="D128" s="24"/>
      <c r="E128" s="25"/>
      <c r="F128" s="24"/>
      <c r="G128" s="25"/>
      <c r="H128" s="24"/>
      <c r="I128" s="25"/>
      <c r="J128" s="24"/>
      <c r="K128" s="25"/>
      <c r="L128" s="24"/>
      <c r="M128" s="25"/>
      <c r="N128" s="24"/>
      <c r="O128" s="25"/>
      <c r="P128" s="24"/>
      <c r="Q128" s="25"/>
      <c r="R128" s="24"/>
      <c r="S128" s="25"/>
      <c r="T128" s="24"/>
    </row>
    <row r="129" spans="2:20">
      <c r="B129" s="9" t="s">
        <v>104</v>
      </c>
      <c r="C129" s="12" t="s">
        <v>105</v>
      </c>
      <c r="D129" s="24"/>
      <c r="E129" s="25"/>
      <c r="F129" s="24"/>
      <c r="G129" s="25"/>
      <c r="H129" s="24"/>
      <c r="I129" s="25"/>
      <c r="J129" s="24"/>
      <c r="K129" s="25"/>
      <c r="L129" s="24"/>
      <c r="M129" s="25"/>
      <c r="N129" s="24"/>
      <c r="O129" s="25"/>
      <c r="P129" s="24"/>
      <c r="Q129" s="25"/>
      <c r="R129" s="24"/>
      <c r="S129" s="25"/>
      <c r="T129" s="24"/>
    </row>
    <row r="130" spans="2:20">
      <c r="B130" s="9" t="s">
        <v>106</v>
      </c>
      <c r="C130" s="12" t="s">
        <v>107</v>
      </c>
      <c r="D130" s="24"/>
      <c r="E130" s="25"/>
      <c r="F130" s="24"/>
      <c r="G130" s="25"/>
      <c r="H130" s="24"/>
      <c r="I130" s="25"/>
      <c r="J130" s="24"/>
      <c r="K130" s="25"/>
      <c r="L130" s="24"/>
      <c r="M130" s="25"/>
      <c r="N130" s="24"/>
      <c r="O130" s="25"/>
      <c r="P130" s="24"/>
      <c r="Q130" s="25"/>
      <c r="R130" s="24"/>
      <c r="S130" s="25"/>
      <c r="T130" s="24"/>
    </row>
    <row r="131" spans="2:20">
      <c r="B131" s="9" t="s">
        <v>108</v>
      </c>
      <c r="C131" s="12" t="s">
        <v>173</v>
      </c>
      <c r="D131" s="24"/>
      <c r="E131" s="25"/>
      <c r="F131" s="24"/>
      <c r="G131" s="25"/>
      <c r="H131" s="24"/>
      <c r="I131" s="25"/>
      <c r="J131" s="24"/>
      <c r="K131" s="25"/>
      <c r="L131" s="24"/>
      <c r="M131" s="25"/>
      <c r="N131" s="24"/>
      <c r="O131" s="25"/>
      <c r="P131" s="24"/>
      <c r="Q131" s="25"/>
      <c r="R131" s="24"/>
      <c r="S131" s="25"/>
      <c r="T131" s="24"/>
    </row>
    <row r="132" spans="2:20">
      <c r="B132" s="9" t="s">
        <v>109</v>
      </c>
      <c r="C132" s="12" t="s">
        <v>174</v>
      </c>
      <c r="D132" s="22"/>
      <c r="E132" s="23"/>
      <c r="F132" s="22"/>
      <c r="G132" s="23"/>
      <c r="H132" s="22"/>
      <c r="I132" s="23"/>
      <c r="J132" s="22"/>
      <c r="K132" s="23"/>
      <c r="L132" s="22"/>
      <c r="M132" s="23"/>
      <c r="N132" s="22"/>
      <c r="O132" s="23"/>
      <c r="P132" s="22"/>
      <c r="Q132" s="23"/>
      <c r="R132" s="22"/>
      <c r="S132" s="23"/>
      <c r="T132" s="22"/>
    </row>
    <row r="133" spans="2:20">
      <c r="B133" s="9" t="s">
        <v>131</v>
      </c>
      <c r="C133" s="12" t="s">
        <v>176</v>
      </c>
      <c r="D133" s="22"/>
      <c r="E133" s="23"/>
      <c r="F133" s="22"/>
      <c r="G133" s="23"/>
      <c r="H133" s="22"/>
      <c r="I133" s="23"/>
      <c r="J133" s="22"/>
      <c r="K133" s="23"/>
      <c r="L133" s="22"/>
      <c r="M133" s="23"/>
      <c r="N133" s="22"/>
      <c r="O133" s="23"/>
      <c r="P133" s="22"/>
      <c r="Q133" s="23"/>
      <c r="R133" s="22"/>
      <c r="S133" s="23"/>
      <c r="T133" s="22"/>
    </row>
    <row r="134" spans="2:20">
      <c r="B134" s="9" t="s">
        <v>111</v>
      </c>
      <c r="C134" s="12" t="s">
        <v>112</v>
      </c>
      <c r="D134" s="22"/>
      <c r="E134" s="23"/>
      <c r="F134" s="22"/>
      <c r="G134" s="23"/>
      <c r="H134" s="22"/>
      <c r="I134" s="23"/>
      <c r="J134" s="22"/>
      <c r="K134" s="23"/>
      <c r="L134" s="22"/>
      <c r="M134" s="23"/>
      <c r="N134" s="22"/>
      <c r="O134" s="23"/>
      <c r="P134" s="22"/>
      <c r="Q134" s="23"/>
      <c r="R134" s="22"/>
      <c r="S134" s="23"/>
      <c r="T134" s="22"/>
    </row>
    <row r="135" spans="2:20">
      <c r="B135" s="9" t="s">
        <v>118</v>
      </c>
      <c r="C135" s="12" t="s">
        <v>119</v>
      </c>
      <c r="D135" s="22"/>
      <c r="E135" s="23"/>
      <c r="F135" s="22"/>
      <c r="G135" s="23"/>
      <c r="H135" s="22"/>
      <c r="I135" s="23"/>
      <c r="J135" s="22"/>
      <c r="K135" s="23"/>
      <c r="L135" s="22"/>
      <c r="M135" s="23"/>
      <c r="N135" s="22"/>
      <c r="O135" s="23"/>
      <c r="P135" s="22"/>
      <c r="Q135" s="23"/>
      <c r="R135" s="22"/>
      <c r="S135" s="23"/>
      <c r="T135" s="22"/>
    </row>
    <row r="136" spans="2:20">
      <c r="B136" s="9" t="s">
        <v>152</v>
      </c>
      <c r="C136" s="12" t="s">
        <v>177</v>
      </c>
      <c r="D136" s="24"/>
      <c r="E136" s="25"/>
      <c r="F136" s="24"/>
      <c r="G136" s="25"/>
      <c r="H136" s="24"/>
      <c r="I136" s="25"/>
      <c r="J136" s="24"/>
      <c r="K136" s="25"/>
      <c r="L136" s="24"/>
      <c r="M136" s="25"/>
      <c r="N136" s="24"/>
      <c r="O136" s="25"/>
      <c r="P136" s="24"/>
      <c r="Q136" s="25"/>
      <c r="R136" s="24"/>
      <c r="S136" s="25"/>
      <c r="T136" s="24"/>
    </row>
    <row r="137" spans="2:20">
      <c r="B137" s="9" t="s">
        <v>132</v>
      </c>
      <c r="C137" s="12" t="s">
        <v>120</v>
      </c>
      <c r="D137" s="24"/>
      <c r="E137" s="25"/>
      <c r="F137" s="24"/>
      <c r="G137" s="25"/>
      <c r="H137" s="24"/>
      <c r="I137" s="25"/>
      <c r="J137" s="24"/>
      <c r="K137" s="25"/>
      <c r="L137" s="24"/>
      <c r="M137" s="25"/>
      <c r="N137" s="24"/>
      <c r="O137" s="25"/>
      <c r="P137" s="24"/>
      <c r="Q137" s="25"/>
      <c r="R137" s="24"/>
      <c r="S137" s="25"/>
      <c r="T137" s="24"/>
    </row>
    <row r="138" spans="2:20">
      <c r="B138" s="9" t="s">
        <v>133</v>
      </c>
      <c r="C138" s="12" t="s">
        <v>178</v>
      </c>
      <c r="D138" s="22"/>
      <c r="E138" s="23"/>
      <c r="F138" s="22"/>
      <c r="G138" s="23"/>
      <c r="H138" s="22"/>
      <c r="I138" s="23"/>
      <c r="J138" s="22"/>
      <c r="K138" s="23"/>
      <c r="L138" s="22"/>
      <c r="M138" s="23"/>
      <c r="N138" s="22"/>
      <c r="O138" s="23"/>
      <c r="P138" s="22"/>
      <c r="Q138" s="23"/>
      <c r="R138" s="22"/>
      <c r="S138" s="23"/>
      <c r="T138" s="22"/>
    </row>
    <row r="139" spans="2:20">
      <c r="B139" s="9" t="s">
        <v>0</v>
      </c>
      <c r="C139" s="12" t="s">
        <v>134</v>
      </c>
      <c r="D139" s="22"/>
      <c r="E139" s="23"/>
      <c r="F139" s="22"/>
      <c r="G139" s="23"/>
      <c r="H139" s="22"/>
      <c r="I139" s="23"/>
      <c r="J139" s="22"/>
      <c r="K139" s="23"/>
      <c r="L139" s="22"/>
      <c r="M139" s="23"/>
      <c r="N139" s="22"/>
      <c r="O139" s="23"/>
      <c r="P139" s="22"/>
      <c r="Q139" s="23"/>
      <c r="R139" s="22"/>
      <c r="S139" s="23"/>
      <c r="T139" s="22"/>
    </row>
    <row r="140" spans="2:20">
      <c r="B140" s="9" t="s">
        <v>135</v>
      </c>
      <c r="C140" s="12" t="s">
        <v>136</v>
      </c>
      <c r="D140" s="22"/>
      <c r="E140" s="23"/>
      <c r="F140" s="22"/>
      <c r="G140" s="23"/>
      <c r="H140" s="22"/>
      <c r="I140" s="23"/>
      <c r="J140" s="22"/>
      <c r="K140" s="23"/>
      <c r="L140" s="22"/>
      <c r="M140" s="23"/>
      <c r="N140" s="22"/>
      <c r="O140" s="23"/>
      <c r="P140" s="22"/>
      <c r="Q140" s="23"/>
      <c r="R140" s="22"/>
      <c r="S140" s="23"/>
      <c r="T140" s="22"/>
    </row>
    <row r="141" spans="2:20">
      <c r="B141" s="9" t="s">
        <v>137</v>
      </c>
      <c r="C141" s="12" t="s">
        <v>138</v>
      </c>
      <c r="D141" s="22"/>
      <c r="E141" s="23"/>
      <c r="F141" s="22"/>
      <c r="G141" s="23"/>
      <c r="H141" s="22"/>
      <c r="I141" s="23"/>
      <c r="J141" s="22"/>
      <c r="K141" s="23"/>
      <c r="L141" s="22"/>
      <c r="M141" s="23"/>
      <c r="N141" s="22"/>
      <c r="O141" s="23"/>
      <c r="P141" s="22"/>
      <c r="Q141" s="23"/>
      <c r="R141" s="22"/>
      <c r="S141" s="23"/>
      <c r="T141" s="22"/>
    </row>
    <row r="142" spans="2:20">
      <c r="B142" s="9" t="s">
        <v>116</v>
      </c>
      <c r="C142" s="12" t="s">
        <v>139</v>
      </c>
    </row>
    <row r="143" spans="2:20">
      <c r="B143" s="9" t="s">
        <v>113</v>
      </c>
      <c r="C143" s="12" t="s">
        <v>140</v>
      </c>
    </row>
    <row r="144" spans="2:20">
      <c r="B144" s="9" t="s">
        <v>141</v>
      </c>
      <c r="C144" s="12" t="s">
        <v>142</v>
      </c>
    </row>
    <row r="145" spans="2:22">
      <c r="B145" s="9" t="s">
        <v>121</v>
      </c>
      <c r="C145" s="12" t="s">
        <v>143</v>
      </c>
    </row>
    <row r="146" spans="2:22">
      <c r="B146" s="9" t="s">
        <v>144</v>
      </c>
      <c r="C146" s="12" t="s">
        <v>145</v>
      </c>
    </row>
    <row r="147" spans="2:22">
      <c r="B147" s="9" t="s">
        <v>122</v>
      </c>
      <c r="C147" s="12" t="s">
        <v>146</v>
      </c>
    </row>
    <row r="148" spans="2:22">
      <c r="B148" s="9" t="s">
        <v>123</v>
      </c>
      <c r="C148" s="12" t="s">
        <v>147</v>
      </c>
    </row>
    <row r="149" spans="2:22">
      <c r="B149" s="9" t="s">
        <v>329</v>
      </c>
      <c r="C149" s="12" t="s">
        <v>148</v>
      </c>
    </row>
    <row r="150" spans="2:22">
      <c r="B150" s="9" t="s">
        <v>125</v>
      </c>
      <c r="C150" s="12" t="s">
        <v>149</v>
      </c>
    </row>
    <row r="151" spans="2:22">
      <c r="B151" s="11" t="s">
        <v>266</v>
      </c>
      <c r="C151" s="11" t="s">
        <v>267</v>
      </c>
    </row>
    <row r="154" spans="2:22">
      <c r="B154" s="453" t="s">
        <v>256</v>
      </c>
      <c r="C154" s="453"/>
      <c r="D154" s="453"/>
      <c r="E154" s="453"/>
      <c r="F154" s="453"/>
      <c r="G154" s="453"/>
      <c r="H154" s="453"/>
      <c r="I154" s="453"/>
      <c r="J154" s="453"/>
      <c r="K154" s="453"/>
      <c r="L154" s="453"/>
      <c r="M154" s="453"/>
      <c r="N154" s="453"/>
      <c r="O154" s="453"/>
      <c r="P154" s="453"/>
      <c r="Q154" s="453"/>
      <c r="R154" s="453"/>
      <c r="S154" s="453"/>
      <c r="T154" s="453"/>
    </row>
    <row r="158" spans="2:22">
      <c r="C158" s="11">
        <v>2006</v>
      </c>
      <c r="E158" s="11">
        <v>2007</v>
      </c>
      <c r="G158" s="11">
        <v>2008</v>
      </c>
      <c r="I158" s="11">
        <v>2009</v>
      </c>
      <c r="K158" s="11">
        <v>2010</v>
      </c>
      <c r="M158" s="11">
        <v>2011</v>
      </c>
      <c r="O158" s="11">
        <v>2012</v>
      </c>
      <c r="Q158" s="11">
        <v>2013</v>
      </c>
      <c r="S158" s="11">
        <v>2014</v>
      </c>
      <c r="U158" s="11">
        <v>2015</v>
      </c>
    </row>
    <row r="159" spans="2:22">
      <c r="B159" s="11" t="s">
        <v>259</v>
      </c>
      <c r="C159" s="11" t="s">
        <v>263</v>
      </c>
      <c r="D159" s="11" t="s">
        <v>153</v>
      </c>
      <c r="E159" s="11" t="s">
        <v>263</v>
      </c>
      <c r="F159" s="11" t="s">
        <v>153</v>
      </c>
      <c r="G159" s="11" t="s">
        <v>263</v>
      </c>
      <c r="H159" s="11" t="s">
        <v>153</v>
      </c>
      <c r="I159" s="11" t="s">
        <v>263</v>
      </c>
      <c r="J159" s="11" t="s">
        <v>153</v>
      </c>
      <c r="K159" s="11" t="s">
        <v>263</v>
      </c>
      <c r="L159" s="11" t="s">
        <v>153</v>
      </c>
      <c r="M159" s="11" t="s">
        <v>263</v>
      </c>
      <c r="N159" s="11" t="s">
        <v>153</v>
      </c>
      <c r="O159" s="11" t="s">
        <v>263</v>
      </c>
      <c r="P159" s="11" t="s">
        <v>153</v>
      </c>
      <c r="Q159" s="11" t="s">
        <v>263</v>
      </c>
      <c r="R159" s="11" t="s">
        <v>153</v>
      </c>
      <c r="S159" s="11" t="s">
        <v>263</v>
      </c>
      <c r="T159" s="11" t="s">
        <v>153</v>
      </c>
      <c r="U159" s="11" t="s">
        <v>263</v>
      </c>
      <c r="V159" s="1" t="s">
        <v>153</v>
      </c>
    </row>
    <row r="160" spans="2:22">
      <c r="B160" s="11" t="s">
        <v>258</v>
      </c>
      <c r="C160" s="11" t="s">
        <v>263</v>
      </c>
      <c r="D160" s="11" t="s">
        <v>257</v>
      </c>
      <c r="E160" s="11" t="s">
        <v>263</v>
      </c>
      <c r="F160" s="11" t="s">
        <v>257</v>
      </c>
      <c r="G160" s="11" t="s">
        <v>263</v>
      </c>
      <c r="H160" s="11" t="s">
        <v>257</v>
      </c>
      <c r="I160" s="11" t="s">
        <v>263</v>
      </c>
      <c r="J160" s="11" t="s">
        <v>257</v>
      </c>
      <c r="K160" s="11" t="s">
        <v>263</v>
      </c>
      <c r="L160" s="11" t="s">
        <v>257</v>
      </c>
      <c r="M160" s="11" t="s">
        <v>263</v>
      </c>
      <c r="N160" s="11" t="s">
        <v>257</v>
      </c>
      <c r="O160" s="11" t="s">
        <v>263</v>
      </c>
      <c r="P160" s="11" t="s">
        <v>257</v>
      </c>
      <c r="Q160" s="11" t="s">
        <v>263</v>
      </c>
      <c r="R160" s="11" t="s">
        <v>257</v>
      </c>
      <c r="S160" s="11" t="s">
        <v>263</v>
      </c>
      <c r="T160" s="11" t="s">
        <v>257</v>
      </c>
      <c r="U160" s="11" t="s">
        <v>263</v>
      </c>
      <c r="V160" s="1" t="s">
        <v>257</v>
      </c>
    </row>
    <row r="161" spans="2:3">
      <c r="B161" s="11" t="s">
        <v>261</v>
      </c>
      <c r="C161" s="11" t="s">
        <v>260</v>
      </c>
    </row>
    <row r="162" spans="2:3">
      <c r="B162" s="11" t="s">
        <v>128</v>
      </c>
      <c r="C162" s="11" t="s">
        <v>1</v>
      </c>
    </row>
    <row r="163" spans="2:3">
      <c r="B163" s="11" t="s">
        <v>2</v>
      </c>
      <c r="C163" s="11" t="s">
        <v>167</v>
      </c>
    </row>
    <row r="164" spans="2:3">
      <c r="B164" s="11" t="s">
        <v>3</v>
      </c>
      <c r="C164" s="11" t="s">
        <v>4</v>
      </c>
    </row>
    <row r="165" spans="2:3">
      <c r="B165" s="11" t="s">
        <v>5</v>
      </c>
      <c r="C165" s="11" t="s">
        <v>6</v>
      </c>
    </row>
    <row r="166" spans="2:3">
      <c r="B166" s="11" t="s">
        <v>7</v>
      </c>
      <c r="C166" s="11" t="s">
        <v>8</v>
      </c>
    </row>
    <row r="167" spans="2:3">
      <c r="B167" s="11" t="s">
        <v>9</v>
      </c>
      <c r="C167" s="11" t="s">
        <v>10</v>
      </c>
    </row>
    <row r="168" spans="2:3">
      <c r="B168" s="11" t="s">
        <v>11</v>
      </c>
      <c r="C168" s="11" t="s">
        <v>264</v>
      </c>
    </row>
    <row r="169" spans="2:3">
      <c r="B169" s="11" t="s">
        <v>12</v>
      </c>
      <c r="C169" s="11" t="s">
        <v>13</v>
      </c>
    </row>
    <row r="170" spans="2:3">
      <c r="B170" s="11" t="s">
        <v>14</v>
      </c>
      <c r="C170" s="11" t="s">
        <v>15</v>
      </c>
    </row>
    <row r="171" spans="2:3">
      <c r="B171" s="11" t="s">
        <v>16</v>
      </c>
      <c r="C171" s="11" t="s">
        <v>18</v>
      </c>
    </row>
    <row r="172" spans="2:3">
      <c r="B172" s="11" t="s">
        <v>19</v>
      </c>
      <c r="C172" s="11" t="s">
        <v>20</v>
      </c>
    </row>
    <row r="173" spans="2:3">
      <c r="B173" s="11" t="s">
        <v>21</v>
      </c>
      <c r="C173" s="11" t="s">
        <v>22</v>
      </c>
    </row>
    <row r="174" spans="2:3">
      <c r="B174" s="11" t="s">
        <v>23</v>
      </c>
      <c r="C174" s="11" t="s">
        <v>24</v>
      </c>
    </row>
    <row r="175" spans="2:3">
      <c r="B175" s="11" t="s">
        <v>25</v>
      </c>
      <c r="C175" s="11" t="s">
        <v>26</v>
      </c>
    </row>
    <row r="176" spans="2:3">
      <c r="B176" s="11" t="s">
        <v>27</v>
      </c>
      <c r="C176" s="11" t="s">
        <v>28</v>
      </c>
    </row>
    <row r="177" spans="2:3">
      <c r="B177" s="11" t="s">
        <v>29</v>
      </c>
      <c r="C177" s="11" t="s">
        <v>30</v>
      </c>
    </row>
    <row r="178" spans="2:3">
      <c r="B178" s="11" t="s">
        <v>31</v>
      </c>
      <c r="C178" s="11" t="s">
        <v>175</v>
      </c>
    </row>
    <row r="179" spans="2:3">
      <c r="B179" s="11" t="s">
        <v>32</v>
      </c>
      <c r="C179" s="11" t="s">
        <v>33</v>
      </c>
    </row>
    <row r="180" spans="2:3">
      <c r="B180" s="11" t="s">
        <v>34</v>
      </c>
      <c r="C180" s="11" t="s">
        <v>268</v>
      </c>
    </row>
    <row r="181" spans="2:3">
      <c r="B181" s="11" t="s">
        <v>36</v>
      </c>
      <c r="C181" s="11" t="s">
        <v>273</v>
      </c>
    </row>
    <row r="182" spans="2:3">
      <c r="B182" s="11" t="s">
        <v>37</v>
      </c>
      <c r="C182" s="11" t="s">
        <v>38</v>
      </c>
    </row>
    <row r="183" spans="2:3">
      <c r="B183" s="11" t="s">
        <v>39</v>
      </c>
      <c r="C183" s="11" t="s">
        <v>168</v>
      </c>
    </row>
    <row r="184" spans="2:3">
      <c r="B184" s="11" t="s">
        <v>40</v>
      </c>
      <c r="C184" s="11" t="s">
        <v>41</v>
      </c>
    </row>
    <row r="185" spans="2:3">
      <c r="B185" s="11" t="s">
        <v>42</v>
      </c>
      <c r="C185" s="11" t="s">
        <v>43</v>
      </c>
    </row>
    <row r="186" spans="2:3">
      <c r="B186" s="11" t="s">
        <v>162</v>
      </c>
      <c r="C186" s="11" t="s">
        <v>278</v>
      </c>
    </row>
    <row r="187" spans="2:3">
      <c r="B187" s="11" t="s">
        <v>44</v>
      </c>
      <c r="C187" s="11" t="s">
        <v>277</v>
      </c>
    </row>
    <row r="188" spans="2:3">
      <c r="B188" s="11" t="s">
        <v>45</v>
      </c>
      <c r="C188" s="11" t="s">
        <v>46</v>
      </c>
    </row>
    <row r="189" spans="2:3">
      <c r="B189" s="11" t="s">
        <v>47</v>
      </c>
      <c r="C189" s="11" t="s">
        <v>48</v>
      </c>
    </row>
    <row r="190" spans="2:3">
      <c r="B190" s="11" t="s">
        <v>49</v>
      </c>
      <c r="C190" s="11" t="s">
        <v>269</v>
      </c>
    </row>
    <row r="191" spans="2:3">
      <c r="B191" s="11" t="s">
        <v>50</v>
      </c>
      <c r="C191" s="11" t="s">
        <v>169</v>
      </c>
    </row>
    <row r="192" spans="2:3">
      <c r="B192" s="11" t="s">
        <v>51</v>
      </c>
      <c r="C192" s="11" t="s">
        <v>52</v>
      </c>
    </row>
    <row r="193" spans="2:3">
      <c r="B193" s="11" t="s">
        <v>53</v>
      </c>
      <c r="C193" s="11" t="s">
        <v>54</v>
      </c>
    </row>
    <row r="194" spans="2:3">
      <c r="B194" s="11" t="s">
        <v>55</v>
      </c>
      <c r="C194" s="11" t="s">
        <v>56</v>
      </c>
    </row>
    <row r="195" spans="2:3">
      <c r="B195" s="11" t="s">
        <v>57</v>
      </c>
      <c r="C195" s="11" t="s">
        <v>58</v>
      </c>
    </row>
    <row r="196" spans="2:3">
      <c r="B196" s="11" t="s">
        <v>59</v>
      </c>
      <c r="C196" s="11" t="s">
        <v>60</v>
      </c>
    </row>
    <row r="197" spans="2:3">
      <c r="B197" s="11" t="s">
        <v>53</v>
      </c>
      <c r="C197" s="11" t="s">
        <v>54</v>
      </c>
    </row>
    <row r="198" spans="2:3">
      <c r="B198" s="7" t="s">
        <v>255</v>
      </c>
      <c r="C198" s="11" t="s">
        <v>61</v>
      </c>
    </row>
    <row r="199" spans="2:3">
      <c r="B199" s="11" t="s">
        <v>123</v>
      </c>
      <c r="C199" s="11" t="s">
        <v>147</v>
      </c>
    </row>
    <row r="200" spans="2:3">
      <c r="B200" s="11" t="s">
        <v>62</v>
      </c>
      <c r="C200" s="11" t="s">
        <v>340</v>
      </c>
    </row>
    <row r="201" spans="2:3">
      <c r="B201" s="11" t="s">
        <v>262</v>
      </c>
      <c r="C201" s="11" t="s">
        <v>270</v>
      </c>
    </row>
    <row r="202" spans="2:3">
      <c r="B202" s="11" t="s">
        <v>63</v>
      </c>
      <c r="C202" s="11" t="s">
        <v>341</v>
      </c>
    </row>
    <row r="203" spans="2:3">
      <c r="B203" s="11" t="s">
        <v>64</v>
      </c>
      <c r="C203" s="11" t="s">
        <v>65</v>
      </c>
    </row>
    <row r="204" spans="2:3">
      <c r="B204" s="11" t="s">
        <v>66</v>
      </c>
      <c r="C204" s="11" t="s">
        <v>67</v>
      </c>
    </row>
    <row r="205" spans="2:3">
      <c r="B205" s="11" t="s">
        <v>68</v>
      </c>
      <c r="C205" s="11" t="s">
        <v>69</v>
      </c>
    </row>
    <row r="206" spans="2:3">
      <c r="B206" s="11" t="s">
        <v>70</v>
      </c>
      <c r="C206" s="11" t="s">
        <v>71</v>
      </c>
    </row>
    <row r="207" spans="2:3">
      <c r="B207" s="11" t="s">
        <v>72</v>
      </c>
      <c r="C207" s="11" t="s">
        <v>73</v>
      </c>
    </row>
    <row r="208" spans="2:3">
      <c r="B208" s="11" t="s">
        <v>74</v>
      </c>
      <c r="C208" s="11" t="s">
        <v>271</v>
      </c>
    </row>
    <row r="209" spans="2:3">
      <c r="B209" s="11" t="s">
        <v>75</v>
      </c>
      <c r="C209" s="11" t="s">
        <v>76</v>
      </c>
    </row>
    <row r="210" spans="2:3">
      <c r="B210" s="11" t="s">
        <v>77</v>
      </c>
      <c r="C210" s="11" t="s">
        <v>78</v>
      </c>
    </row>
    <row r="211" spans="2:3">
      <c r="B211" s="11" t="s">
        <v>79</v>
      </c>
      <c r="C211" s="11" t="s">
        <v>272</v>
      </c>
    </row>
    <row r="212" spans="2:3">
      <c r="B212" s="11" t="s">
        <v>80</v>
      </c>
      <c r="C212" s="11" t="s">
        <v>81</v>
      </c>
    </row>
    <row r="213" spans="2:3">
      <c r="B213" s="11" t="s">
        <v>82</v>
      </c>
      <c r="C213" s="11" t="s">
        <v>83</v>
      </c>
    </row>
    <row r="214" spans="2:3">
      <c r="B214" s="11" t="s">
        <v>84</v>
      </c>
      <c r="C214" s="11" t="s">
        <v>85</v>
      </c>
    </row>
    <row r="215" spans="2:3">
      <c r="B215" s="11" t="s">
        <v>86</v>
      </c>
      <c r="C215" s="11" t="s">
        <v>342</v>
      </c>
    </row>
    <row r="216" spans="2:3">
      <c r="B216" s="11" t="s">
        <v>87</v>
      </c>
      <c r="C216" s="11" t="s">
        <v>88</v>
      </c>
    </row>
    <row r="217" spans="2:3">
      <c r="B217" s="11" t="s">
        <v>89</v>
      </c>
      <c r="C217" s="11" t="s">
        <v>90</v>
      </c>
    </row>
    <row r="218" spans="2:3">
      <c r="B218" s="11" t="s">
        <v>91</v>
      </c>
      <c r="C218" s="11" t="s">
        <v>92</v>
      </c>
    </row>
    <row r="219" spans="2:3">
      <c r="B219" s="11" t="s">
        <v>93</v>
      </c>
      <c r="C219" s="11" t="s">
        <v>94</v>
      </c>
    </row>
    <row r="220" spans="2:3">
      <c r="B220" s="11" t="s">
        <v>95</v>
      </c>
      <c r="C220" s="11" t="s">
        <v>96</v>
      </c>
    </row>
    <row r="221" spans="2:3">
      <c r="B221" s="11" t="s">
        <v>97</v>
      </c>
      <c r="C221" s="11" t="s">
        <v>98</v>
      </c>
    </row>
    <row r="222" spans="2:3">
      <c r="B222" s="11" t="s">
        <v>99</v>
      </c>
      <c r="C222" s="11" t="s">
        <v>101</v>
      </c>
    </row>
    <row r="223" spans="2:3">
      <c r="B223" s="11" t="s">
        <v>102</v>
      </c>
      <c r="C223" s="11" t="s">
        <v>103</v>
      </c>
    </row>
    <row r="224" spans="2:3">
      <c r="B224" s="11" t="s">
        <v>104</v>
      </c>
      <c r="C224" s="11" t="s">
        <v>105</v>
      </c>
    </row>
    <row r="225" spans="2:3">
      <c r="B225" s="11" t="s">
        <v>106</v>
      </c>
      <c r="C225" s="11" t="s">
        <v>107</v>
      </c>
    </row>
    <row r="226" spans="2:3">
      <c r="B226" s="11" t="s">
        <v>108</v>
      </c>
      <c r="C226" s="12" t="s">
        <v>173</v>
      </c>
    </row>
    <row r="227" spans="2:3">
      <c r="B227" s="11" t="s">
        <v>109</v>
      </c>
      <c r="C227" s="12" t="s">
        <v>174</v>
      </c>
    </row>
    <row r="228" spans="2:3">
      <c r="B228" s="11" t="s">
        <v>163</v>
      </c>
      <c r="C228" s="11" t="s">
        <v>343</v>
      </c>
    </row>
    <row r="229" spans="2:3">
      <c r="B229" s="11" t="s">
        <v>110</v>
      </c>
      <c r="C229" s="12" t="s">
        <v>176</v>
      </c>
    </row>
    <row r="230" spans="2:3">
      <c r="B230" s="11" t="s">
        <v>111</v>
      </c>
      <c r="C230" s="11" t="s">
        <v>112</v>
      </c>
    </row>
    <row r="231" spans="2:3">
      <c r="B231" s="11" t="s">
        <v>113</v>
      </c>
      <c r="C231" s="11" t="s">
        <v>114</v>
      </c>
    </row>
    <row r="232" spans="2:3">
      <c r="B232" s="11" t="s">
        <v>115</v>
      </c>
      <c r="C232" s="11" t="s">
        <v>117</v>
      </c>
    </row>
    <row r="233" spans="2:3">
      <c r="B233" s="11" t="s">
        <v>118</v>
      </c>
      <c r="C233" s="11" t="s">
        <v>119</v>
      </c>
    </row>
    <row r="234" spans="2:3">
      <c r="B234" s="11" t="s">
        <v>152</v>
      </c>
      <c r="C234" s="12" t="s">
        <v>177</v>
      </c>
    </row>
    <row r="235" spans="2:3">
      <c r="B235" s="11" t="s">
        <v>265</v>
      </c>
      <c r="C235" s="11" t="s">
        <v>287</v>
      </c>
    </row>
    <row r="236" spans="2:3">
      <c r="B236" s="11" t="s">
        <v>133</v>
      </c>
      <c r="C236" s="12" t="s">
        <v>178</v>
      </c>
    </row>
    <row r="237" spans="2:3">
      <c r="B237" s="11" t="s">
        <v>0</v>
      </c>
      <c r="C237" s="12" t="s">
        <v>134</v>
      </c>
    </row>
    <row r="238" spans="2:3">
      <c r="B238" s="11" t="s">
        <v>158</v>
      </c>
      <c r="C238" s="12" t="s">
        <v>136</v>
      </c>
    </row>
    <row r="239" spans="2:3">
      <c r="B239" s="11" t="s">
        <v>159</v>
      </c>
      <c r="C239" s="12" t="s">
        <v>138</v>
      </c>
    </row>
    <row r="240" spans="2:3">
      <c r="B240" s="11" t="s">
        <v>160</v>
      </c>
      <c r="C240" s="12" t="s">
        <v>139</v>
      </c>
    </row>
    <row r="241" spans="2:21">
      <c r="B241" s="11" t="s">
        <v>113</v>
      </c>
      <c r="C241" s="12" t="s">
        <v>140</v>
      </c>
    </row>
    <row r="242" spans="2:21">
      <c r="B242" s="11" t="s">
        <v>141</v>
      </c>
      <c r="C242" s="12" t="s">
        <v>142</v>
      </c>
    </row>
    <row r="243" spans="2:21">
      <c r="B243" s="11" t="s">
        <v>121</v>
      </c>
      <c r="C243" s="12" t="s">
        <v>143</v>
      </c>
    </row>
    <row r="244" spans="2:21">
      <c r="B244" s="11" t="s">
        <v>144</v>
      </c>
      <c r="C244" s="12" t="s">
        <v>145</v>
      </c>
    </row>
    <row r="245" spans="2:21">
      <c r="B245" s="11" t="s">
        <v>122</v>
      </c>
      <c r="C245" s="12" t="s">
        <v>146</v>
      </c>
    </row>
    <row r="246" spans="2:21">
      <c r="B246" s="11" t="s">
        <v>124</v>
      </c>
      <c r="C246" s="12" t="s">
        <v>148</v>
      </c>
    </row>
    <row r="247" spans="2:21">
      <c r="B247" s="11" t="s">
        <v>123</v>
      </c>
      <c r="C247" s="5" t="s">
        <v>147</v>
      </c>
    </row>
    <row r="248" spans="2:21">
      <c r="B248" s="11" t="s">
        <v>164</v>
      </c>
      <c r="C248" s="5" t="s">
        <v>275</v>
      </c>
    </row>
    <row r="249" spans="2:21">
      <c r="B249" s="11" t="s">
        <v>165</v>
      </c>
      <c r="C249" s="5" t="s">
        <v>276</v>
      </c>
    </row>
    <row r="250" spans="2:21">
      <c r="B250" s="11" t="s">
        <v>266</v>
      </c>
      <c r="C250" s="11" t="s">
        <v>274</v>
      </c>
    </row>
    <row r="253" spans="2:21">
      <c r="B253" s="453" t="s">
        <v>279</v>
      </c>
      <c r="C253" s="453"/>
      <c r="D253" s="453"/>
      <c r="E253" s="453"/>
      <c r="F253" s="453"/>
      <c r="G253" s="453"/>
      <c r="H253" s="453"/>
      <c r="I253" s="453"/>
      <c r="J253" s="453"/>
      <c r="K253" s="453"/>
      <c r="L253" s="453"/>
      <c r="M253" s="453"/>
      <c r="N253" s="453"/>
      <c r="O253" s="453"/>
      <c r="P253" s="453"/>
      <c r="Q253" s="453"/>
      <c r="R253" s="453"/>
      <c r="S253" s="453"/>
      <c r="T253" s="453"/>
    </row>
    <row r="256" spans="2:21">
      <c r="C256" s="11">
        <v>2006</v>
      </c>
      <c r="E256" s="11">
        <v>2007</v>
      </c>
      <c r="G256" s="11">
        <v>2008</v>
      </c>
      <c r="I256" s="11">
        <v>2009</v>
      </c>
      <c r="K256" s="11">
        <v>2010</v>
      </c>
      <c r="M256" s="11">
        <v>2011</v>
      </c>
      <c r="O256" s="11">
        <v>2012</v>
      </c>
      <c r="Q256" s="11">
        <v>2013</v>
      </c>
      <c r="S256" s="11">
        <v>2014</v>
      </c>
      <c r="U256" s="11">
        <v>2015</v>
      </c>
    </row>
    <row r="257" spans="2:22">
      <c r="B257" s="11" t="s">
        <v>235</v>
      </c>
      <c r="C257" s="11" t="s">
        <v>263</v>
      </c>
      <c r="D257" s="11" t="s">
        <v>153</v>
      </c>
      <c r="E257" s="11" t="s">
        <v>263</v>
      </c>
      <c r="F257" s="11" t="s">
        <v>153</v>
      </c>
      <c r="G257" s="11" t="s">
        <v>263</v>
      </c>
      <c r="H257" s="11" t="s">
        <v>153</v>
      </c>
      <c r="I257" s="11" t="s">
        <v>263</v>
      </c>
      <c r="J257" s="11" t="s">
        <v>153</v>
      </c>
      <c r="K257" s="11" t="s">
        <v>263</v>
      </c>
      <c r="L257" s="11" t="s">
        <v>153</v>
      </c>
      <c r="M257" s="11" t="s">
        <v>263</v>
      </c>
      <c r="N257" s="11" t="s">
        <v>153</v>
      </c>
      <c r="O257" s="11" t="s">
        <v>263</v>
      </c>
      <c r="P257" s="11" t="s">
        <v>153</v>
      </c>
      <c r="Q257" s="11" t="s">
        <v>263</v>
      </c>
      <c r="R257" s="11" t="s">
        <v>153</v>
      </c>
      <c r="S257" s="11" t="s">
        <v>263</v>
      </c>
      <c r="T257" s="11" t="s">
        <v>153</v>
      </c>
      <c r="U257" s="11" t="s">
        <v>263</v>
      </c>
      <c r="V257" s="1" t="s">
        <v>153</v>
      </c>
    </row>
    <row r="258" spans="2:22">
      <c r="B258" s="11" t="s">
        <v>192</v>
      </c>
      <c r="C258" s="11" t="s">
        <v>263</v>
      </c>
      <c r="D258" s="11" t="s">
        <v>257</v>
      </c>
      <c r="E258" s="11" t="s">
        <v>263</v>
      </c>
      <c r="F258" s="11" t="s">
        <v>257</v>
      </c>
      <c r="G258" s="11" t="s">
        <v>263</v>
      </c>
      <c r="H258" s="11" t="s">
        <v>257</v>
      </c>
      <c r="I258" s="11" t="s">
        <v>263</v>
      </c>
      <c r="J258" s="11" t="s">
        <v>257</v>
      </c>
      <c r="K258" s="11" t="s">
        <v>263</v>
      </c>
      <c r="L258" s="11" t="s">
        <v>257</v>
      </c>
      <c r="M258" s="11" t="s">
        <v>263</v>
      </c>
      <c r="N258" s="11" t="s">
        <v>257</v>
      </c>
      <c r="O258" s="11" t="s">
        <v>263</v>
      </c>
      <c r="P258" s="11" t="s">
        <v>257</v>
      </c>
      <c r="Q258" s="11" t="s">
        <v>263</v>
      </c>
      <c r="R258" s="11" t="s">
        <v>257</v>
      </c>
      <c r="S258" s="11" t="s">
        <v>263</v>
      </c>
      <c r="T258" s="11" t="s">
        <v>257</v>
      </c>
      <c r="U258" s="11" t="s">
        <v>263</v>
      </c>
      <c r="V258" s="1" t="s">
        <v>257</v>
      </c>
    </row>
    <row r="259" spans="2:22">
      <c r="B259" s="11" t="s">
        <v>128</v>
      </c>
      <c r="C259" s="11" t="s">
        <v>1</v>
      </c>
    </row>
    <row r="260" spans="2:22">
      <c r="B260" s="11" t="s">
        <v>2</v>
      </c>
      <c r="C260" s="11" t="s">
        <v>167</v>
      </c>
    </row>
    <row r="261" spans="2:22">
      <c r="B261" s="11" t="s">
        <v>3</v>
      </c>
      <c r="C261" s="11" t="s">
        <v>4</v>
      </c>
    </row>
    <row r="262" spans="2:22">
      <c r="B262" s="11" t="s">
        <v>5</v>
      </c>
      <c r="C262" s="11" t="s">
        <v>6</v>
      </c>
    </row>
    <row r="263" spans="2:22">
      <c r="B263" s="11" t="s">
        <v>7</v>
      </c>
      <c r="C263" s="11" t="s">
        <v>8</v>
      </c>
    </row>
    <row r="264" spans="2:22">
      <c r="B264" s="11" t="s">
        <v>9</v>
      </c>
      <c r="C264" s="11" t="s">
        <v>10</v>
      </c>
    </row>
    <row r="265" spans="2:22">
      <c r="B265" s="11" t="s">
        <v>12</v>
      </c>
      <c r="C265" s="11" t="s">
        <v>13</v>
      </c>
    </row>
    <row r="266" spans="2:22">
      <c r="B266" s="11" t="s">
        <v>14</v>
      </c>
      <c r="C266" s="11" t="s">
        <v>15</v>
      </c>
    </row>
    <row r="267" spans="2:22">
      <c r="B267" s="11" t="s">
        <v>11</v>
      </c>
      <c r="C267" s="11" t="s">
        <v>282</v>
      </c>
    </row>
    <row r="268" spans="2:22">
      <c r="B268" s="11" t="s">
        <v>16</v>
      </c>
      <c r="C268" s="11" t="s">
        <v>18</v>
      </c>
    </row>
    <row r="269" spans="2:22">
      <c r="B269" s="11" t="s">
        <v>19</v>
      </c>
      <c r="C269" s="11" t="s">
        <v>20</v>
      </c>
    </row>
    <row r="270" spans="2:22">
      <c r="B270" s="11" t="s">
        <v>21</v>
      </c>
      <c r="C270" s="11" t="s">
        <v>22</v>
      </c>
    </row>
    <row r="271" spans="2:22">
      <c r="B271" s="11" t="s">
        <v>23</v>
      </c>
      <c r="C271" s="11" t="s">
        <v>24</v>
      </c>
    </row>
    <row r="272" spans="2:22">
      <c r="B272" s="11" t="s">
        <v>25</v>
      </c>
      <c r="C272" s="11" t="s">
        <v>26</v>
      </c>
    </row>
    <row r="273" spans="2:3">
      <c r="B273" s="11" t="s">
        <v>27</v>
      </c>
      <c r="C273" s="11" t="s">
        <v>28</v>
      </c>
    </row>
    <row r="274" spans="2:3">
      <c r="B274" s="11" t="s">
        <v>29</v>
      </c>
      <c r="C274" s="11" t="s">
        <v>30</v>
      </c>
    </row>
    <row r="275" spans="2:3">
      <c r="B275" s="11" t="s">
        <v>39</v>
      </c>
      <c r="C275" s="11" t="s">
        <v>168</v>
      </c>
    </row>
    <row r="276" spans="2:3">
      <c r="B276" s="11" t="s">
        <v>53</v>
      </c>
      <c r="C276" s="11" t="s">
        <v>54</v>
      </c>
    </row>
    <row r="277" spans="2:3">
      <c r="B277" s="7" t="s">
        <v>255</v>
      </c>
      <c r="C277" s="11" t="s">
        <v>61</v>
      </c>
    </row>
    <row r="278" spans="2:3">
      <c r="B278" s="11" t="s">
        <v>235</v>
      </c>
      <c r="C278" s="11" t="s">
        <v>283</v>
      </c>
    </row>
    <row r="279" spans="2:3">
      <c r="B279" s="11" t="s">
        <v>280</v>
      </c>
      <c r="C279" s="11" t="s">
        <v>284</v>
      </c>
    </row>
    <row r="280" spans="2:3">
      <c r="B280" s="11" t="s">
        <v>63</v>
      </c>
      <c r="C280" s="11" t="s">
        <v>341</v>
      </c>
    </row>
    <row r="281" spans="2:3">
      <c r="B281" s="11" t="s">
        <v>64</v>
      </c>
      <c r="C281" s="11" t="s">
        <v>65</v>
      </c>
    </row>
    <row r="282" spans="2:3">
      <c r="B282" s="11" t="s">
        <v>66</v>
      </c>
      <c r="C282" s="11" t="s">
        <v>67</v>
      </c>
    </row>
    <row r="283" spans="2:3">
      <c r="B283" s="11" t="s">
        <v>68</v>
      </c>
      <c r="C283" s="11" t="s">
        <v>69</v>
      </c>
    </row>
    <row r="284" spans="2:3">
      <c r="B284" s="11" t="s">
        <v>70</v>
      </c>
      <c r="C284" s="11" t="s">
        <v>71</v>
      </c>
    </row>
    <row r="285" spans="2:3">
      <c r="B285" s="11" t="s">
        <v>72</v>
      </c>
      <c r="C285" s="11" t="s">
        <v>73</v>
      </c>
    </row>
    <row r="286" spans="2:3">
      <c r="B286" s="11" t="s">
        <v>154</v>
      </c>
      <c r="C286" s="11" t="s">
        <v>271</v>
      </c>
    </row>
    <row r="287" spans="2:3">
      <c r="B287" s="11" t="s">
        <v>75</v>
      </c>
      <c r="C287" s="11" t="s">
        <v>76</v>
      </c>
    </row>
    <row r="288" spans="2:3">
      <c r="B288" s="11" t="s">
        <v>77</v>
      </c>
      <c r="C288" s="11" t="s">
        <v>78</v>
      </c>
    </row>
    <row r="289" spans="2:3">
      <c r="B289" s="11" t="s">
        <v>79</v>
      </c>
      <c r="C289" s="11" t="s">
        <v>272</v>
      </c>
    </row>
    <row r="290" spans="2:3">
      <c r="B290" s="11" t="s">
        <v>80</v>
      </c>
      <c r="C290" s="11" t="s">
        <v>81</v>
      </c>
    </row>
    <row r="291" spans="2:3">
      <c r="B291" s="11" t="s">
        <v>82</v>
      </c>
      <c r="C291" s="11" t="s">
        <v>83</v>
      </c>
    </row>
    <row r="292" spans="2:3">
      <c r="B292" s="11" t="s">
        <v>84</v>
      </c>
      <c r="C292" s="11" t="s">
        <v>85</v>
      </c>
    </row>
    <row r="293" spans="2:3">
      <c r="B293" s="11" t="s">
        <v>86</v>
      </c>
      <c r="C293" s="11" t="s">
        <v>342</v>
      </c>
    </row>
    <row r="294" spans="2:3">
      <c r="B294" s="11" t="s">
        <v>155</v>
      </c>
      <c r="C294" s="11" t="s">
        <v>344</v>
      </c>
    </row>
    <row r="295" spans="2:3">
      <c r="B295" s="11" t="s">
        <v>87</v>
      </c>
      <c r="C295" s="11" t="s">
        <v>88</v>
      </c>
    </row>
    <row r="296" spans="2:3">
      <c r="B296" s="11" t="s">
        <v>89</v>
      </c>
      <c r="C296" s="11" t="s">
        <v>90</v>
      </c>
    </row>
    <row r="297" spans="2:3">
      <c r="B297" s="11" t="s">
        <v>91</v>
      </c>
      <c r="C297" s="11" t="s">
        <v>92</v>
      </c>
    </row>
    <row r="298" spans="2:3">
      <c r="B298" s="11" t="s">
        <v>93</v>
      </c>
      <c r="C298" s="11" t="s">
        <v>94</v>
      </c>
    </row>
    <row r="299" spans="2:3">
      <c r="B299" s="11" t="s">
        <v>95</v>
      </c>
      <c r="C299" s="11" t="s">
        <v>96</v>
      </c>
    </row>
    <row r="300" spans="2:3">
      <c r="B300" s="11" t="s">
        <v>97</v>
      </c>
      <c r="C300" s="11" t="s">
        <v>98</v>
      </c>
    </row>
    <row r="301" spans="2:3">
      <c r="B301" s="11" t="s">
        <v>156</v>
      </c>
      <c r="C301" s="11" t="s">
        <v>101</v>
      </c>
    </row>
    <row r="302" spans="2:3">
      <c r="B302" s="11" t="s">
        <v>102</v>
      </c>
      <c r="C302" s="11" t="s">
        <v>103</v>
      </c>
    </row>
    <row r="303" spans="2:3">
      <c r="B303" s="11" t="s">
        <v>104</v>
      </c>
      <c r="C303" s="11" t="s">
        <v>105</v>
      </c>
    </row>
    <row r="304" spans="2:3">
      <c r="B304" s="11" t="s">
        <v>109</v>
      </c>
      <c r="C304" s="12" t="s">
        <v>174</v>
      </c>
    </row>
    <row r="305" spans="2:3">
      <c r="B305" s="11" t="s">
        <v>106</v>
      </c>
      <c r="C305" s="11" t="s">
        <v>107</v>
      </c>
    </row>
    <row r="306" spans="2:3">
      <c r="B306" s="11" t="s">
        <v>281</v>
      </c>
      <c r="C306" s="11" t="s">
        <v>343</v>
      </c>
    </row>
    <row r="307" spans="2:3">
      <c r="B307" s="11" t="s">
        <v>110</v>
      </c>
      <c r="C307" s="11" t="s">
        <v>285</v>
      </c>
    </row>
    <row r="308" spans="2:3">
      <c r="B308" s="11" t="s">
        <v>157</v>
      </c>
      <c r="C308" s="11" t="s">
        <v>286</v>
      </c>
    </row>
    <row r="309" spans="2:3">
      <c r="B309" s="11" t="s">
        <v>111</v>
      </c>
      <c r="C309" s="11" t="s">
        <v>112</v>
      </c>
    </row>
    <row r="310" spans="2:3">
      <c r="B310" s="11" t="s">
        <v>113</v>
      </c>
      <c r="C310" s="11" t="s">
        <v>114</v>
      </c>
    </row>
    <row r="311" spans="2:3">
      <c r="B311" s="11" t="s">
        <v>116</v>
      </c>
      <c r="C311" s="11" t="s">
        <v>117</v>
      </c>
    </row>
    <row r="312" spans="2:3">
      <c r="B312" s="11" t="s">
        <v>118</v>
      </c>
      <c r="C312" s="11" t="s">
        <v>119</v>
      </c>
    </row>
    <row r="313" spans="2:3">
      <c r="B313" s="11" t="s">
        <v>152</v>
      </c>
      <c r="C313" s="12" t="s">
        <v>177</v>
      </c>
    </row>
    <row r="314" spans="2:3">
      <c r="B314" s="11" t="s">
        <v>265</v>
      </c>
      <c r="C314" s="11" t="s">
        <v>287</v>
      </c>
    </row>
    <row r="315" spans="2:3">
      <c r="B315" s="11" t="s">
        <v>133</v>
      </c>
      <c r="C315" s="12" t="s">
        <v>178</v>
      </c>
    </row>
    <row r="316" spans="2:3">
      <c r="B316" s="11" t="s">
        <v>0</v>
      </c>
      <c r="C316" s="12" t="s">
        <v>134</v>
      </c>
    </row>
    <row r="317" spans="2:3">
      <c r="B317" s="11" t="s">
        <v>158</v>
      </c>
      <c r="C317" s="12" t="s">
        <v>136</v>
      </c>
    </row>
    <row r="318" spans="2:3">
      <c r="B318" s="11" t="s">
        <v>159</v>
      </c>
      <c r="C318" s="12" t="s">
        <v>138</v>
      </c>
    </row>
    <row r="319" spans="2:3">
      <c r="B319" s="11" t="s">
        <v>116</v>
      </c>
      <c r="C319" s="12" t="s">
        <v>139</v>
      </c>
    </row>
    <row r="320" spans="2:3">
      <c r="B320" s="11" t="s">
        <v>113</v>
      </c>
      <c r="C320" s="12" t="s">
        <v>140</v>
      </c>
    </row>
    <row r="321" spans="2:20">
      <c r="B321" s="11" t="s">
        <v>141</v>
      </c>
      <c r="C321" s="12" t="s">
        <v>142</v>
      </c>
    </row>
    <row r="322" spans="2:20">
      <c r="B322" s="11" t="s">
        <v>121</v>
      </c>
      <c r="C322" s="12" t="s">
        <v>288</v>
      </c>
    </row>
    <row r="323" spans="2:20">
      <c r="B323" s="11" t="s">
        <v>144</v>
      </c>
      <c r="C323" s="12" t="s">
        <v>145</v>
      </c>
    </row>
    <row r="324" spans="2:20">
      <c r="B324" s="11" t="s">
        <v>122</v>
      </c>
      <c r="C324" s="12" t="s">
        <v>146</v>
      </c>
    </row>
    <row r="325" spans="2:20">
      <c r="B325" s="11" t="s">
        <v>123</v>
      </c>
      <c r="C325" s="5" t="s">
        <v>147</v>
      </c>
    </row>
    <row r="326" spans="2:20">
      <c r="B326" s="11" t="s">
        <v>124</v>
      </c>
      <c r="C326" s="12" t="s">
        <v>289</v>
      </c>
    </row>
    <row r="327" spans="2:20">
      <c r="B327" s="11" t="s">
        <v>161</v>
      </c>
      <c r="C327" s="12" t="s">
        <v>149</v>
      </c>
    </row>
    <row r="328" spans="2:20">
      <c r="B328" s="11" t="s">
        <v>266</v>
      </c>
      <c r="C328" s="11" t="s">
        <v>274</v>
      </c>
    </row>
    <row r="331" spans="2:20">
      <c r="B331" s="453" t="s">
        <v>315</v>
      </c>
      <c r="C331" s="453"/>
      <c r="D331" s="453"/>
      <c r="E331" s="453"/>
      <c r="F331" s="453"/>
      <c r="G331" s="453"/>
      <c r="H331" s="453"/>
      <c r="I331" s="453"/>
      <c r="J331" s="453"/>
      <c r="K331" s="453"/>
      <c r="L331" s="453"/>
      <c r="M331" s="453"/>
      <c r="N331" s="453"/>
      <c r="O331" s="453"/>
      <c r="P331" s="453"/>
      <c r="Q331" s="453"/>
      <c r="R331" s="453"/>
      <c r="S331" s="453"/>
      <c r="T331" s="453"/>
    </row>
    <row r="334" spans="2:20">
      <c r="C334" s="11">
        <v>2013</v>
      </c>
    </row>
    <row r="335" spans="2:20">
      <c r="B335" s="11" t="s">
        <v>385</v>
      </c>
      <c r="C335" s="11" t="s">
        <v>293</v>
      </c>
      <c r="D335" s="11" t="s">
        <v>294</v>
      </c>
      <c r="E335" s="11" t="s">
        <v>295</v>
      </c>
      <c r="F335" s="11" t="s">
        <v>296</v>
      </c>
      <c r="G335" s="11" t="s">
        <v>297</v>
      </c>
      <c r="H335" s="11" t="s">
        <v>298</v>
      </c>
      <c r="I335" s="11" t="s">
        <v>299</v>
      </c>
      <c r="J335" s="11" t="s">
        <v>300</v>
      </c>
      <c r="K335" s="11" t="s">
        <v>301</v>
      </c>
      <c r="L335" s="11" t="s">
        <v>302</v>
      </c>
      <c r="M335" s="11" t="s">
        <v>303</v>
      </c>
      <c r="N335" s="11" t="s">
        <v>304</v>
      </c>
      <c r="O335" s="11" t="s">
        <v>384</v>
      </c>
    </row>
    <row r="336" spans="2:20">
      <c r="B336" s="11" t="s">
        <v>386</v>
      </c>
      <c r="C336" s="11" t="s">
        <v>316</v>
      </c>
      <c r="D336" s="11" t="s">
        <v>317</v>
      </c>
      <c r="E336" s="11" t="s">
        <v>318</v>
      </c>
      <c r="F336" s="11" t="s">
        <v>296</v>
      </c>
      <c r="G336" s="11" t="s">
        <v>319</v>
      </c>
      <c r="H336" s="11" t="s">
        <v>320</v>
      </c>
      <c r="I336" s="11" t="s">
        <v>321</v>
      </c>
      <c r="J336" s="11" t="s">
        <v>322</v>
      </c>
      <c r="K336" s="11" t="s">
        <v>323</v>
      </c>
      <c r="L336" s="11" t="s">
        <v>324</v>
      </c>
      <c r="M336" s="11" t="s">
        <v>325</v>
      </c>
      <c r="N336" s="11" t="s">
        <v>326</v>
      </c>
      <c r="O336" s="11" t="s">
        <v>383</v>
      </c>
    </row>
    <row r="337" spans="2:3">
      <c r="B337" s="11" t="s">
        <v>128</v>
      </c>
      <c r="C337" s="11" t="s">
        <v>1</v>
      </c>
    </row>
    <row r="338" spans="2:3">
      <c r="B338" s="11" t="s">
        <v>2</v>
      </c>
      <c r="C338" s="11" t="s">
        <v>167</v>
      </c>
    </row>
    <row r="339" spans="2:3">
      <c r="B339" s="11" t="s">
        <v>3</v>
      </c>
      <c r="C339" s="11" t="s">
        <v>4</v>
      </c>
    </row>
    <row r="340" spans="2:3">
      <c r="B340" s="11" t="s">
        <v>5</v>
      </c>
      <c r="C340" s="11" t="s">
        <v>6</v>
      </c>
    </row>
    <row r="341" spans="2:3">
      <c r="B341" s="11" t="s">
        <v>305</v>
      </c>
      <c r="C341" s="11" t="s">
        <v>8</v>
      </c>
    </row>
    <row r="342" spans="2:3">
      <c r="B342" s="11" t="s">
        <v>9</v>
      </c>
      <c r="C342" s="11" t="s">
        <v>10</v>
      </c>
    </row>
    <row r="343" spans="2:3">
      <c r="B343" s="11" t="s">
        <v>306</v>
      </c>
      <c r="C343" s="11" t="s">
        <v>13</v>
      </c>
    </row>
    <row r="344" spans="2:3">
      <c r="B344" s="11" t="s">
        <v>307</v>
      </c>
      <c r="C344" s="11" t="s">
        <v>15</v>
      </c>
    </row>
    <row r="345" spans="2:3">
      <c r="B345" s="11" t="s">
        <v>16</v>
      </c>
      <c r="C345" s="11" t="s">
        <v>18</v>
      </c>
    </row>
    <row r="346" spans="2:3">
      <c r="B346" s="11" t="s">
        <v>19</v>
      </c>
      <c r="C346" s="11" t="s">
        <v>20</v>
      </c>
    </row>
    <row r="347" spans="2:3">
      <c r="B347" s="11" t="s">
        <v>308</v>
      </c>
      <c r="C347" s="11" t="s">
        <v>22</v>
      </c>
    </row>
    <row r="348" spans="2:3">
      <c r="B348" s="11" t="s">
        <v>309</v>
      </c>
      <c r="C348" s="11" t="s">
        <v>24</v>
      </c>
    </row>
    <row r="349" spans="2:3">
      <c r="B349" s="11" t="s">
        <v>310</v>
      </c>
      <c r="C349" s="11" t="s">
        <v>26</v>
      </c>
    </row>
    <row r="350" spans="2:3">
      <c r="B350" s="11" t="s">
        <v>27</v>
      </c>
      <c r="C350" s="11" t="s">
        <v>28</v>
      </c>
    </row>
    <row r="351" spans="2:3">
      <c r="B351" s="11" t="s">
        <v>29</v>
      </c>
      <c r="C351" s="11" t="s">
        <v>30</v>
      </c>
    </row>
    <row r="352" spans="2:3">
      <c r="B352" s="11" t="s">
        <v>31</v>
      </c>
      <c r="C352" s="11" t="s">
        <v>175</v>
      </c>
    </row>
    <row r="353" spans="2:3">
      <c r="B353" s="11" t="s">
        <v>32</v>
      </c>
      <c r="C353" s="11" t="s">
        <v>33</v>
      </c>
    </row>
    <row r="354" spans="2:3">
      <c r="B354" s="11" t="s">
        <v>34</v>
      </c>
      <c r="C354" s="11" t="s">
        <v>35</v>
      </c>
    </row>
    <row r="355" spans="2:3">
      <c r="B355" s="11" t="s">
        <v>37</v>
      </c>
      <c r="C355" s="11" t="s">
        <v>38</v>
      </c>
    </row>
    <row r="356" spans="2:3">
      <c r="B356" s="11" t="s">
        <v>39</v>
      </c>
      <c r="C356" s="11" t="s">
        <v>168</v>
      </c>
    </row>
    <row r="357" spans="2:3">
      <c r="B357" s="11" t="s">
        <v>328</v>
      </c>
      <c r="C357" s="11" t="s">
        <v>41</v>
      </c>
    </row>
    <row r="358" spans="2:3">
      <c r="B358" s="11" t="s">
        <v>311</v>
      </c>
      <c r="C358" s="11" t="s">
        <v>43</v>
      </c>
    </row>
    <row r="359" spans="2:3">
      <c r="B359" s="11" t="s">
        <v>45</v>
      </c>
      <c r="C359" s="11" t="s">
        <v>46</v>
      </c>
    </row>
    <row r="360" spans="2:3">
      <c r="B360" s="11" t="s">
        <v>312</v>
      </c>
      <c r="C360" s="11" t="s">
        <v>48</v>
      </c>
    </row>
    <row r="361" spans="2:3">
      <c r="B361" s="11" t="s">
        <v>313</v>
      </c>
      <c r="C361" s="11" t="s">
        <v>169</v>
      </c>
    </row>
    <row r="362" spans="2:3">
      <c r="B362" s="11" t="s">
        <v>51</v>
      </c>
      <c r="C362" s="11" t="s">
        <v>52</v>
      </c>
    </row>
    <row r="363" spans="2:3">
      <c r="B363" s="11" t="s">
        <v>53</v>
      </c>
      <c r="C363" s="11" t="s">
        <v>54</v>
      </c>
    </row>
    <row r="364" spans="2:3">
      <c r="B364" s="11" t="s">
        <v>55</v>
      </c>
      <c r="C364" s="11" t="s">
        <v>56</v>
      </c>
    </row>
    <row r="365" spans="2:3">
      <c r="B365" s="11" t="s">
        <v>57</v>
      </c>
      <c r="C365" s="11" t="s">
        <v>58</v>
      </c>
    </row>
    <row r="366" spans="2:3">
      <c r="B366" s="11" t="s">
        <v>314</v>
      </c>
      <c r="C366" s="11" t="s">
        <v>60</v>
      </c>
    </row>
    <row r="367" spans="2:3">
      <c r="B367" s="11" t="s">
        <v>53</v>
      </c>
      <c r="C367" s="11" t="s">
        <v>54</v>
      </c>
    </row>
    <row r="368" spans="2:3">
      <c r="B368" s="7" t="s">
        <v>255</v>
      </c>
      <c r="C368" s="11" t="s">
        <v>61</v>
      </c>
    </row>
    <row r="369" spans="2:3">
      <c r="B369" s="11" t="s">
        <v>62</v>
      </c>
      <c r="C369" s="11" t="s">
        <v>340</v>
      </c>
    </row>
    <row r="370" spans="2:3">
      <c r="B370" s="11" t="s">
        <v>126</v>
      </c>
      <c r="C370" s="11" t="s">
        <v>170</v>
      </c>
    </row>
    <row r="371" spans="2:3">
      <c r="B371" s="11" t="s">
        <v>63</v>
      </c>
      <c r="C371" s="11" t="s">
        <v>341</v>
      </c>
    </row>
    <row r="372" spans="2:3">
      <c r="B372" s="11" t="s">
        <v>64</v>
      </c>
      <c r="C372" s="11" t="s">
        <v>65</v>
      </c>
    </row>
    <row r="373" spans="2:3">
      <c r="B373" s="11" t="s">
        <v>66</v>
      </c>
      <c r="C373" s="11" t="s">
        <v>67</v>
      </c>
    </row>
    <row r="374" spans="2:3">
      <c r="B374" s="11" t="s">
        <v>68</v>
      </c>
      <c r="C374" s="11" t="s">
        <v>69</v>
      </c>
    </row>
    <row r="375" spans="2:3">
      <c r="B375" s="11" t="s">
        <v>70</v>
      </c>
      <c r="C375" s="11" t="s">
        <v>71</v>
      </c>
    </row>
    <row r="376" spans="2:3">
      <c r="B376" s="11" t="s">
        <v>72</v>
      </c>
      <c r="C376" s="11" t="s">
        <v>73</v>
      </c>
    </row>
    <row r="377" spans="2:3">
      <c r="B377" s="11" t="s">
        <v>129</v>
      </c>
      <c r="C377" s="11" t="s">
        <v>179</v>
      </c>
    </row>
    <row r="378" spans="2:3">
      <c r="B378" s="11" t="s">
        <v>75</v>
      </c>
      <c r="C378" s="11" t="s">
        <v>76</v>
      </c>
    </row>
    <row r="379" spans="2:3">
      <c r="B379" s="11" t="s">
        <v>77</v>
      </c>
      <c r="C379" s="11" t="s">
        <v>78</v>
      </c>
    </row>
    <row r="380" spans="2:3">
      <c r="B380" s="11" t="s">
        <v>79</v>
      </c>
      <c r="C380" s="11" t="s">
        <v>151</v>
      </c>
    </row>
    <row r="381" spans="2:3">
      <c r="B381" s="11" t="s">
        <v>80</v>
      </c>
      <c r="C381" s="11" t="s">
        <v>81</v>
      </c>
    </row>
    <row r="382" spans="2:3">
      <c r="B382" s="11" t="s">
        <v>82</v>
      </c>
      <c r="C382" s="11" t="s">
        <v>83</v>
      </c>
    </row>
    <row r="383" spans="2:3">
      <c r="B383" s="11" t="s">
        <v>84</v>
      </c>
      <c r="C383" s="11" t="s">
        <v>85</v>
      </c>
    </row>
    <row r="384" spans="2:3">
      <c r="B384" s="11" t="s">
        <v>86</v>
      </c>
      <c r="C384" s="11" t="s">
        <v>342</v>
      </c>
    </row>
    <row r="385" spans="2:3">
      <c r="B385" s="11" t="s">
        <v>130</v>
      </c>
      <c r="C385" s="11" t="s">
        <v>180</v>
      </c>
    </row>
    <row r="386" spans="2:3">
      <c r="B386" s="11" t="s">
        <v>87</v>
      </c>
      <c r="C386" s="11" t="s">
        <v>88</v>
      </c>
    </row>
    <row r="387" spans="2:3">
      <c r="B387" s="11" t="s">
        <v>89</v>
      </c>
      <c r="C387" s="11" t="s">
        <v>90</v>
      </c>
    </row>
    <row r="388" spans="2:3">
      <c r="B388" s="11" t="s">
        <v>91</v>
      </c>
      <c r="C388" s="11" t="s">
        <v>92</v>
      </c>
    </row>
    <row r="389" spans="2:3">
      <c r="B389" s="11" t="s">
        <v>93</v>
      </c>
      <c r="C389" s="11" t="s">
        <v>94</v>
      </c>
    </row>
    <row r="390" spans="2:3">
      <c r="B390" s="11" t="s">
        <v>95</v>
      </c>
      <c r="C390" s="11" t="s">
        <v>96</v>
      </c>
    </row>
    <row r="391" spans="2:3">
      <c r="B391" s="11" t="s">
        <v>97</v>
      </c>
      <c r="C391" s="11" t="s">
        <v>98</v>
      </c>
    </row>
    <row r="392" spans="2:3">
      <c r="B392" s="11" t="s">
        <v>100</v>
      </c>
      <c r="C392" s="11" t="s">
        <v>101</v>
      </c>
    </row>
    <row r="393" spans="2:3">
      <c r="B393" s="11" t="s">
        <v>102</v>
      </c>
      <c r="C393" s="11" t="s">
        <v>103</v>
      </c>
    </row>
    <row r="394" spans="2:3">
      <c r="B394" s="11" t="s">
        <v>104</v>
      </c>
      <c r="C394" s="11" t="s">
        <v>105</v>
      </c>
    </row>
    <row r="395" spans="2:3">
      <c r="B395" s="11" t="s">
        <v>106</v>
      </c>
      <c r="C395" s="11" t="s">
        <v>107</v>
      </c>
    </row>
    <row r="396" spans="2:3">
      <c r="B396" s="11" t="s">
        <v>108</v>
      </c>
      <c r="C396" s="11" t="s">
        <v>173</v>
      </c>
    </row>
    <row r="397" spans="2:3">
      <c r="B397" s="11" t="s">
        <v>109</v>
      </c>
      <c r="C397" s="11" t="s">
        <v>174</v>
      </c>
    </row>
    <row r="398" spans="2:3">
      <c r="B398" s="11" t="s">
        <v>131</v>
      </c>
      <c r="C398" s="11" t="s">
        <v>373</v>
      </c>
    </row>
    <row r="399" spans="2:3">
      <c r="B399" s="11" t="s">
        <v>111</v>
      </c>
      <c r="C399" s="11" t="s">
        <v>112</v>
      </c>
    </row>
    <row r="400" spans="2:3">
      <c r="B400" s="11" t="s">
        <v>118</v>
      </c>
      <c r="C400" s="11" t="s">
        <v>119</v>
      </c>
    </row>
    <row r="401" spans="2:3">
      <c r="B401" s="11" t="s">
        <v>152</v>
      </c>
      <c r="C401" s="11" t="s">
        <v>177</v>
      </c>
    </row>
    <row r="402" spans="2:3">
      <c r="B402" s="11" t="s">
        <v>132</v>
      </c>
      <c r="C402" s="11" t="s">
        <v>120</v>
      </c>
    </row>
    <row r="403" spans="2:3">
      <c r="B403" s="11" t="s">
        <v>133</v>
      </c>
      <c r="C403" s="11" t="s">
        <v>178</v>
      </c>
    </row>
    <row r="404" spans="2:3">
      <c r="B404" s="11" t="s">
        <v>0</v>
      </c>
      <c r="C404" s="11" t="s">
        <v>134</v>
      </c>
    </row>
    <row r="405" spans="2:3">
      <c r="B405" s="11" t="s">
        <v>135</v>
      </c>
      <c r="C405" s="11" t="s">
        <v>136</v>
      </c>
    </row>
    <row r="406" spans="2:3">
      <c r="B406" s="11" t="s">
        <v>137</v>
      </c>
      <c r="C406" s="11" t="s">
        <v>138</v>
      </c>
    </row>
    <row r="407" spans="2:3">
      <c r="B407" s="11" t="s">
        <v>116</v>
      </c>
      <c r="C407" s="11" t="s">
        <v>139</v>
      </c>
    </row>
    <row r="408" spans="2:3">
      <c r="B408" s="11" t="s">
        <v>113</v>
      </c>
      <c r="C408" s="11" t="s">
        <v>140</v>
      </c>
    </row>
    <row r="409" spans="2:3">
      <c r="B409" s="11" t="s">
        <v>141</v>
      </c>
      <c r="C409" s="11" t="s">
        <v>142</v>
      </c>
    </row>
    <row r="410" spans="2:3">
      <c r="B410" s="11" t="s">
        <v>121</v>
      </c>
      <c r="C410" s="11" t="s">
        <v>143</v>
      </c>
    </row>
    <row r="411" spans="2:3">
      <c r="B411" s="11" t="s">
        <v>144</v>
      </c>
      <c r="C411" s="11" t="s">
        <v>145</v>
      </c>
    </row>
    <row r="412" spans="2:3">
      <c r="B412" s="11" t="s">
        <v>122</v>
      </c>
      <c r="C412" s="11" t="s">
        <v>146</v>
      </c>
    </row>
    <row r="413" spans="2:3">
      <c r="B413" s="11" t="s">
        <v>123</v>
      </c>
      <c r="C413" s="11" t="s">
        <v>147</v>
      </c>
    </row>
    <row r="414" spans="2:3">
      <c r="B414" s="11" t="s">
        <v>329</v>
      </c>
      <c r="C414" s="11" t="s">
        <v>148</v>
      </c>
    </row>
    <row r="415" spans="2:3">
      <c r="B415" s="11" t="s">
        <v>125</v>
      </c>
      <c r="C415" s="11" t="s">
        <v>149</v>
      </c>
    </row>
    <row r="416" spans="2:3">
      <c r="B416" s="11" t="s">
        <v>266</v>
      </c>
      <c r="C416" s="11" t="s">
        <v>267</v>
      </c>
    </row>
    <row r="419" spans="2:23">
      <c r="B419" s="453" t="s">
        <v>387</v>
      </c>
      <c r="C419" s="460"/>
      <c r="D419" s="460"/>
      <c r="E419" s="460"/>
      <c r="F419" s="460"/>
      <c r="G419" s="460"/>
      <c r="H419" s="460"/>
      <c r="I419" s="460"/>
      <c r="J419" s="460"/>
      <c r="K419" s="460"/>
      <c r="L419" s="460"/>
      <c r="M419" s="460"/>
      <c r="N419" s="460"/>
      <c r="O419" s="460"/>
      <c r="P419" s="460"/>
      <c r="Q419" s="460"/>
      <c r="R419" s="460"/>
      <c r="S419" s="460"/>
      <c r="T419" s="460"/>
    </row>
    <row r="421" spans="2:23">
      <c r="B421" s="11" t="s">
        <v>327</v>
      </c>
    </row>
    <row r="422" spans="2:23">
      <c r="B422" s="11" t="s">
        <v>334</v>
      </c>
      <c r="O422" s="1"/>
    </row>
    <row r="424" spans="2:23">
      <c r="B424" s="11" t="s">
        <v>389</v>
      </c>
    </row>
    <row r="425" spans="2:23">
      <c r="B425" s="11" t="s">
        <v>389</v>
      </c>
    </row>
    <row r="427" spans="2:23">
      <c r="B427" s="453" t="s">
        <v>330</v>
      </c>
      <c r="C427" s="453"/>
      <c r="D427" s="453"/>
      <c r="E427" s="453"/>
      <c r="F427" s="453"/>
      <c r="G427" s="453"/>
      <c r="H427" s="453"/>
      <c r="I427" s="453"/>
      <c r="J427" s="453"/>
      <c r="K427" s="453"/>
      <c r="L427" s="453"/>
      <c r="M427" s="453"/>
      <c r="N427" s="453"/>
      <c r="O427" s="453"/>
      <c r="P427" s="453"/>
      <c r="Q427" s="453"/>
      <c r="R427" s="453"/>
      <c r="S427" s="453"/>
      <c r="T427" s="453"/>
    </row>
    <row r="429" spans="2:23">
      <c r="B429" s="11" t="s">
        <v>335</v>
      </c>
      <c r="C429" s="11" t="s">
        <v>240</v>
      </c>
      <c r="D429" s="11" t="s">
        <v>388</v>
      </c>
      <c r="E429" s="27" t="s">
        <v>390</v>
      </c>
      <c r="F429" s="27" t="s">
        <v>391</v>
      </c>
    </row>
    <row r="430" spans="2:23">
      <c r="B430" s="11" t="s">
        <v>336</v>
      </c>
      <c r="C430" s="11" t="s">
        <v>339</v>
      </c>
      <c r="D430" s="11" t="s">
        <v>388</v>
      </c>
      <c r="E430" s="27" t="s">
        <v>390</v>
      </c>
      <c r="F430" s="27" t="s">
        <v>392</v>
      </c>
      <c r="W430" s="28"/>
    </row>
    <row r="432" spans="2:23">
      <c r="B432" s="453" t="s">
        <v>345</v>
      </c>
      <c r="C432" s="453"/>
      <c r="D432" s="453"/>
      <c r="E432" s="453"/>
      <c r="F432" s="453"/>
      <c r="G432" s="453"/>
      <c r="H432" s="453"/>
      <c r="I432" s="453"/>
      <c r="J432" s="453"/>
      <c r="K432" s="453"/>
      <c r="L432" s="453"/>
      <c r="M432" s="453"/>
      <c r="N432" s="453"/>
      <c r="O432" s="453"/>
      <c r="P432" s="453"/>
      <c r="Q432" s="453"/>
      <c r="R432" s="453"/>
      <c r="S432" s="453"/>
      <c r="T432" s="453"/>
    </row>
    <row r="435" spans="2:6">
      <c r="B435" s="11" t="s">
        <v>353</v>
      </c>
      <c r="C435" s="11" t="s">
        <v>354</v>
      </c>
    </row>
    <row r="437" spans="2:6">
      <c r="B437" s="11" t="s">
        <v>346</v>
      </c>
      <c r="C437" s="11" t="s">
        <v>345</v>
      </c>
    </row>
    <row r="438" spans="2:6">
      <c r="B438" s="11" t="s">
        <v>347</v>
      </c>
      <c r="C438" s="11" t="s">
        <v>355</v>
      </c>
    </row>
    <row r="439" spans="2:6">
      <c r="B439" s="11" t="s">
        <v>348</v>
      </c>
      <c r="C439" s="11" t="s">
        <v>356</v>
      </c>
    </row>
    <row r="441" spans="2:6">
      <c r="B441" s="11" t="s">
        <v>357</v>
      </c>
      <c r="C441" s="11" t="s">
        <v>349</v>
      </c>
      <c r="D441" s="11" t="s">
        <v>350</v>
      </c>
      <c r="E441" s="11" t="s">
        <v>351</v>
      </c>
      <c r="F441" s="11" t="s">
        <v>352</v>
      </c>
    </row>
    <row r="442" spans="2:6">
      <c r="B442" s="11" t="s">
        <v>358</v>
      </c>
      <c r="C442" s="11" t="s">
        <v>359</v>
      </c>
      <c r="D442" s="11" t="s">
        <v>360</v>
      </c>
      <c r="E442" s="11" t="s">
        <v>361</v>
      </c>
      <c r="F442" s="11" t="s">
        <v>362</v>
      </c>
    </row>
    <row r="443" spans="2:6">
      <c r="B443" s="11" t="s">
        <v>363</v>
      </c>
    </row>
    <row r="444" spans="2:6">
      <c r="B444" s="11" t="s">
        <v>364</v>
      </c>
    </row>
  </sheetData>
  <mergeCells count="21">
    <mergeCell ref="B40:C41"/>
    <mergeCell ref="B419:T419"/>
    <mergeCell ref="B432:T432"/>
    <mergeCell ref="B427:T427"/>
    <mergeCell ref="B331:T331"/>
    <mergeCell ref="B3:C3"/>
    <mergeCell ref="B253:T253"/>
    <mergeCell ref="B154:T154"/>
    <mergeCell ref="B62:T62"/>
    <mergeCell ref="B37:T37"/>
    <mergeCell ref="B42:B51"/>
    <mergeCell ref="B52:B59"/>
    <mergeCell ref="F40:H40"/>
    <mergeCell ref="J40:L40"/>
    <mergeCell ref="M40:P40"/>
    <mergeCell ref="D40:E41"/>
    <mergeCell ref="D42:D51"/>
    <mergeCell ref="D52:D59"/>
    <mergeCell ref="F42:H42"/>
    <mergeCell ref="J42:L42"/>
    <mergeCell ref="M42:P4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C4:P7"/>
  <sheetViews>
    <sheetView workbookViewId="0">
      <selection activeCell="P5" sqref="P5:P7"/>
    </sheetView>
  </sheetViews>
  <sheetFormatPr defaultRowHeight="12.75"/>
  <cols>
    <col min="3" max="3" width="28.28515625" bestFit="1" customWidth="1"/>
  </cols>
  <sheetData>
    <row r="4" spans="3:16">
      <c r="D4" s="249" t="s">
        <v>293</v>
      </c>
      <c r="E4" s="249" t="s">
        <v>294</v>
      </c>
      <c r="F4" s="249" t="s">
        <v>295</v>
      </c>
      <c r="G4" s="249" t="s">
        <v>296</v>
      </c>
      <c r="H4" s="249" t="s">
        <v>297</v>
      </c>
      <c r="I4" s="249" t="s">
        <v>298</v>
      </c>
      <c r="J4" s="249" t="s">
        <v>299</v>
      </c>
      <c r="K4" s="249" t="s">
        <v>300</v>
      </c>
      <c r="L4" s="249" t="s">
        <v>301</v>
      </c>
      <c r="M4" s="249" t="s">
        <v>302</v>
      </c>
      <c r="N4" s="249" t="s">
        <v>303</v>
      </c>
      <c r="O4" s="249" t="s">
        <v>304</v>
      </c>
    </row>
    <row r="5" spans="3:16">
      <c r="C5" s="249" t="s">
        <v>460</v>
      </c>
      <c r="D5" s="250">
        <v>62425293.156965584</v>
      </c>
      <c r="E5" s="250">
        <v>79762187.59852089</v>
      </c>
      <c r="F5" s="250">
        <v>89318688.151918903</v>
      </c>
      <c r="G5" s="250">
        <v>106294081.27535464</v>
      </c>
      <c r="H5" s="250">
        <v>97189661.825924918</v>
      </c>
      <c r="I5" s="250">
        <v>105191801.34506513</v>
      </c>
      <c r="J5" s="250">
        <v>123272889.17858437</v>
      </c>
      <c r="K5" s="250">
        <v>125579133.65326507</v>
      </c>
      <c r="L5" s="250">
        <v>121047897.33843082</v>
      </c>
      <c r="M5" s="250">
        <v>114789505.85515907</v>
      </c>
      <c r="N5" s="250">
        <v>97406301.479715049</v>
      </c>
      <c r="O5" s="250">
        <v>145778958.57826602</v>
      </c>
      <c r="P5" s="250">
        <f>+SUM(D5:O5)</f>
        <v>1268056399.4371705</v>
      </c>
    </row>
    <row r="6" spans="3:16">
      <c r="C6" s="249" t="s">
        <v>461</v>
      </c>
      <c r="D6" s="250">
        <v>70632268.589999989</v>
      </c>
      <c r="E6" s="250">
        <v>81381758.450000018</v>
      </c>
      <c r="F6" s="250">
        <v>100495765.61000001</v>
      </c>
      <c r="G6" s="250">
        <v>107356417.33534782</v>
      </c>
      <c r="H6" s="250">
        <v>98816734.644163221</v>
      </c>
      <c r="I6" s="250">
        <v>107147051.5707173</v>
      </c>
      <c r="J6" s="250">
        <v>125666748.8575906</v>
      </c>
      <c r="K6" s="250">
        <v>127890096.38694921</v>
      </c>
      <c r="L6" s="250">
        <v>123465322.33433203</v>
      </c>
      <c r="M6" s="250">
        <v>117130344.73943919</v>
      </c>
      <c r="N6" s="250">
        <v>99294843.070796907</v>
      </c>
      <c r="O6" s="250">
        <v>149056317.49743444</v>
      </c>
      <c r="P6" s="250">
        <f>+SUM(D6:O6)</f>
        <v>1308333669.0867708</v>
      </c>
    </row>
    <row r="7" spans="3:16">
      <c r="C7" s="249" t="s">
        <v>462</v>
      </c>
      <c r="D7" s="250">
        <v>54757461.979999989</v>
      </c>
      <c r="E7" s="250">
        <v>75673443.909999996</v>
      </c>
      <c r="F7" s="250">
        <v>88296245.580000013</v>
      </c>
      <c r="G7" s="250">
        <v>103948239.19999999</v>
      </c>
      <c r="H7" s="250">
        <v>93997829.679999992</v>
      </c>
      <c r="I7" s="250">
        <v>99561632.659999996</v>
      </c>
      <c r="J7" s="250">
        <v>122021331.04999998</v>
      </c>
      <c r="K7" s="250">
        <v>125053427.64999999</v>
      </c>
      <c r="L7" s="250">
        <v>116342017.78000002</v>
      </c>
      <c r="M7" s="250">
        <v>117283627.60000001</v>
      </c>
      <c r="N7" s="250">
        <v>95781753.159999996</v>
      </c>
      <c r="O7" s="250">
        <v>142429369.22999999</v>
      </c>
      <c r="P7" s="250">
        <f>+SUM(D7:O7)</f>
        <v>1235146379.48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M80"/>
  <sheetViews>
    <sheetView workbookViewId="0">
      <selection activeCell="G63" sqref="G63"/>
    </sheetView>
  </sheetViews>
  <sheetFormatPr defaultRowHeight="12.75"/>
  <cols>
    <col min="2" max="2" width="43.28515625" customWidth="1"/>
    <col min="3" max="3" width="7.42578125" bestFit="1" customWidth="1"/>
    <col min="4" max="4" width="7.85546875" bestFit="1" customWidth="1"/>
    <col min="5" max="5" width="7.7109375" style="80" customWidth="1"/>
    <col min="6" max="6" width="6" style="80" customWidth="1"/>
    <col min="7" max="7" width="7.7109375" style="80" customWidth="1"/>
    <col min="8" max="8" width="7" style="80" bestFit="1" customWidth="1"/>
    <col min="12" max="12" width="11.5703125" bestFit="1" customWidth="1"/>
  </cols>
  <sheetData>
    <row r="1" spans="2:13">
      <c r="E1" s="82"/>
      <c r="F1" s="82"/>
      <c r="G1" s="82"/>
      <c r="H1" s="82"/>
    </row>
    <row r="2" spans="2:13" ht="13.5" thickBot="1">
      <c r="E2" s="82"/>
      <c r="F2" s="82"/>
      <c r="G2" s="82"/>
      <c r="H2" s="82"/>
    </row>
    <row r="3" spans="2:13" ht="14.25" thickTop="1" thickBot="1">
      <c r="C3" s="412">
        <v>3335894492.1291356</v>
      </c>
      <c r="D3" s="412"/>
      <c r="E3" s="410">
        <v>3516156889.9792166</v>
      </c>
      <c r="F3" s="461"/>
      <c r="G3" s="461"/>
      <c r="H3" s="411"/>
    </row>
    <row r="4" spans="2:13" ht="13.5" thickTop="1">
      <c r="E4" s="83"/>
      <c r="F4" s="83"/>
      <c r="G4" s="82"/>
      <c r="H4" s="82"/>
    </row>
    <row r="5" spans="2:13" ht="13.5" thickBot="1">
      <c r="E5" s="209"/>
      <c r="F5" s="209"/>
      <c r="G5" s="209"/>
      <c r="H5" s="209"/>
    </row>
    <row r="6" spans="2:13" ht="13.5" thickTop="1">
      <c r="B6" t="s">
        <v>127</v>
      </c>
      <c r="C6" s="423">
        <v>2013</v>
      </c>
      <c r="D6" s="424"/>
      <c r="E6" s="423" t="s">
        <v>393</v>
      </c>
      <c r="F6" s="424"/>
      <c r="G6" s="423" t="s">
        <v>434</v>
      </c>
      <c r="H6" s="424"/>
      <c r="I6" s="423" t="s">
        <v>463</v>
      </c>
      <c r="J6" s="424"/>
    </row>
    <row r="7" spans="2:13" ht="13.5" thickBot="1">
      <c r="C7" s="88" t="str">
        <f>+E7</f>
        <v>mil. €</v>
      </c>
      <c r="D7" s="89" t="str">
        <f>+F7</f>
        <v>% BDP</v>
      </c>
      <c r="E7" s="88" t="s">
        <v>263</v>
      </c>
      <c r="F7" s="89" t="s">
        <v>150</v>
      </c>
      <c r="G7" s="88" t="s">
        <v>263</v>
      </c>
      <c r="H7" s="89" t="s">
        <v>150</v>
      </c>
      <c r="I7" s="252" t="s">
        <v>263</v>
      </c>
      <c r="J7" s="252" t="s">
        <v>464</v>
      </c>
    </row>
    <row r="8" spans="2:13" ht="14.25" thickTop="1" thickBot="1">
      <c r="B8" s="90" t="s">
        <v>128</v>
      </c>
      <c r="C8" s="210">
        <f>C9+C17+C22+C27+C34+C39</f>
        <v>1235146379.48</v>
      </c>
      <c r="D8" s="92">
        <f>C8/C$3*100</f>
        <v>37.025942588839719</v>
      </c>
      <c r="E8" s="210">
        <f>+E9+E17+E22+E27+E34+E39+E40</f>
        <v>1276056399.4371703</v>
      </c>
      <c r="F8" s="92">
        <f>E8/E$3*100</f>
        <v>36.291224748071834</v>
      </c>
      <c r="G8" s="199">
        <f>+G9+G17+G22+G27+G34+G39+G40</f>
        <v>1316333669.0867703</v>
      </c>
      <c r="H8" s="92">
        <f>G8/E$3*100</f>
        <v>37.436716002014087</v>
      </c>
      <c r="I8" s="199">
        <f>+G8-E8</f>
        <v>40277269.649600029</v>
      </c>
      <c r="J8" s="92">
        <f>+G8/E8*100-100</f>
        <v>3.1563863217460693</v>
      </c>
    </row>
    <row r="9" spans="2:13" ht="13.5" thickTop="1">
      <c r="B9" s="94" t="s">
        <v>2</v>
      </c>
      <c r="C9" s="189">
        <f>SUM(C10:C16)</f>
        <v>755696459.51000011</v>
      </c>
      <c r="D9" s="96">
        <f t="shared" ref="D9:D72" si="0">C9/C$3*100</f>
        <v>22.653488031261944</v>
      </c>
      <c r="E9" s="189">
        <f>+SUM(E10:E16)</f>
        <v>797828901.35953081</v>
      </c>
      <c r="F9" s="98">
        <f t="shared" ref="F9:F73" si="1">E9/E$3*100</f>
        <v>22.690366963808792</v>
      </c>
      <c r="G9" s="189">
        <f>+SUM(G10:G16)</f>
        <v>819077478.06873</v>
      </c>
      <c r="H9" s="98">
        <f t="shared" ref="H9:H72" si="2">G9/E$3*100</f>
        <v>23.294679495190881</v>
      </c>
      <c r="I9" s="189">
        <f t="shared" ref="I9:I41" si="3">+G9-E9</f>
        <v>21248576.70919919</v>
      </c>
      <c r="J9" s="98">
        <f t="shared" ref="J9:J73" si="4">+G9/E9*100-100</f>
        <v>2.6632999472682428</v>
      </c>
    </row>
    <row r="10" spans="2:13">
      <c r="B10" s="99" t="s">
        <v>3</v>
      </c>
      <c r="C10" s="191">
        <v>95618433.909999996</v>
      </c>
      <c r="D10" s="101">
        <f t="shared" si="0"/>
        <v>2.8663506635358695</v>
      </c>
      <c r="E10" s="191">
        <v>96011654.614494905</v>
      </c>
      <c r="F10" s="101">
        <f t="shared" si="1"/>
        <v>2.7305850568875618</v>
      </c>
      <c r="G10" s="193">
        <v>96781150.729929999</v>
      </c>
      <c r="H10" s="101">
        <f t="shared" si="2"/>
        <v>2.7524696354064582</v>
      </c>
      <c r="I10" s="193">
        <f t="shared" si="3"/>
        <v>769496.11543509364</v>
      </c>
      <c r="J10" s="101">
        <f t="shared" si="4"/>
        <v>0.80146115440335564</v>
      </c>
    </row>
    <row r="11" spans="2:13">
      <c r="B11" s="99" t="s">
        <v>5</v>
      </c>
      <c r="C11" s="193">
        <v>40638726.390000008</v>
      </c>
      <c r="D11" s="101">
        <f t="shared" si="0"/>
        <v>1.2182257708055488</v>
      </c>
      <c r="E11" s="193">
        <v>44395641.531501003</v>
      </c>
      <c r="F11" s="101">
        <f t="shared" si="1"/>
        <v>1.2626183336137604</v>
      </c>
      <c r="G11" s="193">
        <v>50018934.706970006</v>
      </c>
      <c r="H11" s="101">
        <f t="shared" si="2"/>
        <v>1.4225455880401758</v>
      </c>
      <c r="I11" s="193">
        <f t="shared" si="3"/>
        <v>5623293.1754690036</v>
      </c>
      <c r="J11" s="101">
        <f t="shared" si="4"/>
        <v>12.666318092236565</v>
      </c>
    </row>
    <row r="12" spans="2:13">
      <c r="B12" s="99" t="s">
        <v>7</v>
      </c>
      <c r="C12" s="193">
        <v>1440565.3199999998</v>
      </c>
      <c r="D12" s="101">
        <f t="shared" si="0"/>
        <v>4.318377944503151E-2</v>
      </c>
      <c r="E12" s="193">
        <v>1544536.6728920399</v>
      </c>
      <c r="F12" s="101">
        <f t="shared" si="1"/>
        <v>4.3926841754241781E-2</v>
      </c>
      <c r="G12" s="193">
        <v>1489198.0023599996</v>
      </c>
      <c r="H12" s="101">
        <f t="shared" si="2"/>
        <v>4.2353002125818169E-2</v>
      </c>
      <c r="I12" s="193">
        <f t="shared" si="3"/>
        <v>-55338.670532040298</v>
      </c>
      <c r="J12" s="101">
        <f t="shared" si="4"/>
        <v>-3.5828654316392772</v>
      </c>
    </row>
    <row r="13" spans="2:13">
      <c r="B13" s="99" t="s">
        <v>9</v>
      </c>
      <c r="C13" s="191">
        <v>429195069.32999998</v>
      </c>
      <c r="D13" s="101">
        <f t="shared" si="0"/>
        <v>12.865966544885122</v>
      </c>
      <c r="E13" s="191">
        <v>455945630.52919102</v>
      </c>
      <c r="F13" s="101">
        <f t="shared" si="1"/>
        <v>12.967158315051353</v>
      </c>
      <c r="G13" s="193">
        <v>473642045.78458995</v>
      </c>
      <c r="H13" s="101">
        <f t="shared" si="2"/>
        <v>13.470446871538474</v>
      </c>
      <c r="I13" s="193">
        <f t="shared" si="3"/>
        <v>17696415.255398929</v>
      </c>
      <c r="J13" s="101">
        <f t="shared" si="4"/>
        <v>3.8812555862986784</v>
      </c>
      <c r="L13" s="193">
        <f>+G13-C13</f>
        <v>44446976.454589963</v>
      </c>
      <c r="M13">
        <f>+G13/C13*100-100</f>
        <v>10.355891675077828</v>
      </c>
    </row>
    <row r="14" spans="2:13">
      <c r="B14" s="99" t="s">
        <v>12</v>
      </c>
      <c r="C14" s="193">
        <v>161445470.17000002</v>
      </c>
      <c r="D14" s="101">
        <f t="shared" si="0"/>
        <v>4.8396455748502225</v>
      </c>
      <c r="E14" s="193">
        <v>171111988.52539012</v>
      </c>
      <c r="F14" s="101">
        <f t="shared" si="1"/>
        <v>4.8664491909631922</v>
      </c>
      <c r="G14" s="193">
        <v>169158715.98390999</v>
      </c>
      <c r="H14" s="101">
        <f t="shared" si="2"/>
        <v>4.8108978432105705</v>
      </c>
      <c r="I14" s="193">
        <f t="shared" si="3"/>
        <v>-1953272.541480124</v>
      </c>
      <c r="J14" s="101">
        <f t="shared" si="4"/>
        <v>-1.1415170604427232</v>
      </c>
    </row>
    <row r="15" spans="2:13">
      <c r="B15" s="99" t="s">
        <v>14</v>
      </c>
      <c r="C15" s="193">
        <v>22269382.640000001</v>
      </c>
      <c r="D15" s="101">
        <f t="shared" si="0"/>
        <v>0.66756855447746977</v>
      </c>
      <c r="E15" s="193">
        <v>23735353.696558259</v>
      </c>
      <c r="F15" s="101">
        <f t="shared" si="1"/>
        <v>0.67503682114419394</v>
      </c>
      <c r="G15" s="193">
        <v>22781578.440719999</v>
      </c>
      <c r="H15" s="101">
        <f t="shared" si="2"/>
        <v>0.64791131776985811</v>
      </c>
      <c r="I15" s="193">
        <f t="shared" si="3"/>
        <v>-953775.25583826005</v>
      </c>
      <c r="J15" s="101">
        <f t="shared" si="4"/>
        <v>-4.0183738908283573</v>
      </c>
    </row>
    <row r="16" spans="2:13">
      <c r="B16" s="99" t="s">
        <v>17</v>
      </c>
      <c r="C16" s="193">
        <v>5088811.75</v>
      </c>
      <c r="D16" s="101">
        <f t="shared" si="0"/>
        <v>0.15254714326267749</v>
      </c>
      <c r="E16" s="193">
        <v>5084095.7895035082</v>
      </c>
      <c r="F16" s="101">
        <f t="shared" si="1"/>
        <v>0.14459240439449103</v>
      </c>
      <c r="G16" s="193">
        <v>5205854.4202499995</v>
      </c>
      <c r="H16" s="101">
        <f t="shared" si="2"/>
        <v>0.14805523709952459</v>
      </c>
      <c r="I16" s="193">
        <f t="shared" si="3"/>
        <v>121758.63074649125</v>
      </c>
      <c r="J16" s="101">
        <f t="shared" si="4"/>
        <v>2.394892539158505</v>
      </c>
      <c r="L16">
        <f>+G13/G8*100</f>
        <v>35.981913773670129</v>
      </c>
    </row>
    <row r="17" spans="2:12">
      <c r="B17" s="94" t="s">
        <v>19</v>
      </c>
      <c r="C17" s="213">
        <f>SUM(C18:C21)</f>
        <v>398494284.19</v>
      </c>
      <c r="D17" s="98">
        <f t="shared" si="0"/>
        <v>11.94565011364196</v>
      </c>
      <c r="E17" s="189">
        <f>+SUM(E18:E21)</f>
        <v>397823173.70918262</v>
      </c>
      <c r="F17" s="98">
        <f t="shared" si="1"/>
        <v>11.314147410286179</v>
      </c>
      <c r="G17" s="189">
        <f>+SUM(G18:G21)</f>
        <v>417559652.73636997</v>
      </c>
      <c r="H17" s="98">
        <f t="shared" si="2"/>
        <v>11.87545566940951</v>
      </c>
      <c r="I17" s="189">
        <f t="shared" si="3"/>
        <v>19736479.027187347</v>
      </c>
      <c r="J17" s="98">
        <f t="shared" si="4"/>
        <v>4.9611184896974265</v>
      </c>
    </row>
    <row r="18" spans="2:12">
      <c r="B18" s="99" t="s">
        <v>21</v>
      </c>
      <c r="C18" s="193">
        <v>241949355.72999999</v>
      </c>
      <c r="D18" s="101">
        <f t="shared" si="0"/>
        <v>7.2529079172277937</v>
      </c>
      <c r="E18" s="193">
        <v>234882396.70208701</v>
      </c>
      <c r="F18" s="101">
        <f t="shared" si="1"/>
        <v>6.6800886323213922</v>
      </c>
      <c r="G18" s="193">
        <v>254875867.28178996</v>
      </c>
      <c r="H18" s="101">
        <f t="shared" si="2"/>
        <v>7.2487057676000486</v>
      </c>
      <c r="I18" s="193">
        <f t="shared" si="3"/>
        <v>19993470.579702944</v>
      </c>
      <c r="J18" s="101">
        <f t="shared" si="4"/>
        <v>8.5121196225963445</v>
      </c>
      <c r="L18" s="193">
        <f>+G18-C18</f>
        <v>12926511.551789969</v>
      </c>
    </row>
    <row r="19" spans="2:12">
      <c r="B19" s="99" t="s">
        <v>23</v>
      </c>
      <c r="C19" s="193">
        <v>134703897.09</v>
      </c>
      <c r="D19" s="101">
        <f t="shared" si="0"/>
        <v>4.038014313936686</v>
      </c>
      <c r="E19" s="193">
        <v>138667298.82084399</v>
      </c>
      <c r="F19" s="101">
        <f t="shared" si="1"/>
        <v>3.9437176201106214</v>
      </c>
      <c r="G19" s="193">
        <v>139196347.37307</v>
      </c>
      <c r="H19" s="101">
        <f t="shared" si="2"/>
        <v>3.9587638358734543</v>
      </c>
      <c r="I19" s="193">
        <f t="shared" si="3"/>
        <v>529048.55222600698</v>
      </c>
      <c r="J19" s="101">
        <f t="shared" si="4"/>
        <v>0.3815236589482538</v>
      </c>
    </row>
    <row r="20" spans="2:12">
      <c r="B20" s="99" t="s">
        <v>25</v>
      </c>
      <c r="C20" s="193">
        <v>10770190.189999999</v>
      </c>
      <c r="D20" s="101">
        <f t="shared" si="0"/>
        <v>0.32285763879558199</v>
      </c>
      <c r="E20" s="193">
        <v>11617385.520490499</v>
      </c>
      <c r="F20" s="101">
        <f t="shared" si="1"/>
        <v>0.33040008975706336</v>
      </c>
      <c r="G20" s="193">
        <v>11434714.104369998</v>
      </c>
      <c r="H20" s="101">
        <f t="shared" si="2"/>
        <v>0.3252048888079504</v>
      </c>
      <c r="I20" s="193">
        <f t="shared" si="3"/>
        <v>-182671.41612050124</v>
      </c>
      <c r="J20" s="101">
        <f t="shared" si="4"/>
        <v>-1.5723969545325787</v>
      </c>
    </row>
    <row r="21" spans="2:12">
      <c r="B21" s="99" t="s">
        <v>27</v>
      </c>
      <c r="C21" s="193">
        <v>11070841.180000002</v>
      </c>
      <c r="D21" s="101">
        <f t="shared" si="0"/>
        <v>0.33187024368189877</v>
      </c>
      <c r="E21" s="191">
        <v>12656092.6657611</v>
      </c>
      <c r="F21" s="101">
        <f t="shared" si="1"/>
        <v>0.3599410680971038</v>
      </c>
      <c r="G21" s="193">
        <v>12052723.97714</v>
      </c>
      <c r="H21" s="101">
        <f t="shared" si="2"/>
        <v>0.34278117712805589</v>
      </c>
      <c r="I21" s="193">
        <f t="shared" si="3"/>
        <v>-603368.68862110004</v>
      </c>
      <c r="J21" s="101">
        <f t="shared" si="4"/>
        <v>-4.7674168051361647</v>
      </c>
    </row>
    <row r="22" spans="2:12">
      <c r="B22" s="94" t="s">
        <v>29</v>
      </c>
      <c r="C22" s="189">
        <f>SUM(C23:C26)</f>
        <v>27069458</v>
      </c>
      <c r="D22" s="98">
        <f t="shared" si="0"/>
        <v>0.81146025642804165</v>
      </c>
      <c r="E22" s="189">
        <f>+SUM(E23:E26)</f>
        <v>20923047.198280636</v>
      </c>
      <c r="F22" s="98">
        <f t="shared" si="1"/>
        <v>0.59505442598166625</v>
      </c>
      <c r="G22" s="189">
        <f>+SUM(G23:G26)</f>
        <v>19923047.198280636</v>
      </c>
      <c r="H22" s="98">
        <f t="shared" si="2"/>
        <v>0.56661428433582772</v>
      </c>
      <c r="I22" s="189">
        <f t="shared" si="3"/>
        <v>-1000000</v>
      </c>
      <c r="J22" s="98">
        <f t="shared" si="4"/>
        <v>-4.7794185546843977</v>
      </c>
    </row>
    <row r="23" spans="2:12">
      <c r="B23" s="99" t="s">
        <v>31</v>
      </c>
      <c r="C23" s="193">
        <v>7881462.9399999995</v>
      </c>
      <c r="D23" s="101">
        <f t="shared" si="0"/>
        <v>0.23626235657620134</v>
      </c>
      <c r="E23" s="193">
        <v>8144616.5029747505</v>
      </c>
      <c r="F23" s="101">
        <f t="shared" si="1"/>
        <v>0.23163404699563594</v>
      </c>
      <c r="G23" s="193">
        <v>8144616.5029747505</v>
      </c>
      <c r="H23" s="101">
        <f t="shared" si="2"/>
        <v>0.23163404699563594</v>
      </c>
      <c r="I23" s="193">
        <f t="shared" si="3"/>
        <v>0</v>
      </c>
      <c r="J23" s="101">
        <f t="shared" si="4"/>
        <v>0</v>
      </c>
    </row>
    <row r="24" spans="2:12">
      <c r="B24" s="99" t="s">
        <v>32</v>
      </c>
      <c r="C24" s="193">
        <v>4557791.26</v>
      </c>
      <c r="D24" s="101">
        <f t="shared" si="0"/>
        <v>0.13662875941531916</v>
      </c>
      <c r="E24" s="193">
        <v>3676083.5729169641</v>
      </c>
      <c r="F24" s="101">
        <f t="shared" si="1"/>
        <v>0.10454833751569864</v>
      </c>
      <c r="G24" s="193">
        <v>5176083.5729169641</v>
      </c>
      <c r="H24" s="101">
        <f t="shared" si="2"/>
        <v>0.14720854998445643</v>
      </c>
      <c r="I24" s="193">
        <f t="shared" si="3"/>
        <v>1500000</v>
      </c>
      <c r="J24" s="101">
        <f t="shared" si="4"/>
        <v>40.804295393364868</v>
      </c>
    </row>
    <row r="25" spans="2:12">
      <c r="B25" s="99" t="s">
        <v>34</v>
      </c>
      <c r="C25" s="193">
        <v>767936.98999999987</v>
      </c>
      <c r="D25" s="101">
        <f t="shared" si="0"/>
        <v>2.3020422013103413E-2</v>
      </c>
      <c r="E25" s="193">
        <v>762511.44191594806</v>
      </c>
      <c r="F25" s="101">
        <f t="shared" si="1"/>
        <v>2.1685933414662142E-2</v>
      </c>
      <c r="G25" s="193">
        <v>762511.44191594806</v>
      </c>
      <c r="H25" s="101">
        <f t="shared" si="2"/>
        <v>2.1685933414662142E-2</v>
      </c>
      <c r="I25" s="193">
        <f t="shared" si="3"/>
        <v>0</v>
      </c>
      <c r="J25" s="101">
        <f t="shared" si="4"/>
        <v>0</v>
      </c>
    </row>
    <row r="26" spans="2:12">
      <c r="B26" s="99" t="s">
        <v>37</v>
      </c>
      <c r="C26" s="191">
        <v>13862266.809999999</v>
      </c>
      <c r="D26" s="101">
        <f t="shared" si="0"/>
        <v>0.41554871842341756</v>
      </c>
      <c r="E26" s="191">
        <v>8339835.6804729737</v>
      </c>
      <c r="F26" s="101">
        <f t="shared" si="1"/>
        <v>0.23718610805566953</v>
      </c>
      <c r="G26" s="191">
        <v>5839835.6804729737</v>
      </c>
      <c r="H26" s="101">
        <f t="shared" si="2"/>
        <v>0.16608575394107319</v>
      </c>
      <c r="I26" s="191">
        <f t="shared" si="3"/>
        <v>-2500000</v>
      </c>
      <c r="J26" s="101">
        <f t="shared" si="4"/>
        <v>-29.976609801240343</v>
      </c>
    </row>
    <row r="27" spans="2:12">
      <c r="B27" s="94" t="s">
        <v>39</v>
      </c>
      <c r="C27" s="189">
        <f>SUM(C28:C33)</f>
        <v>13233490.18</v>
      </c>
      <c r="D27" s="98">
        <f t="shared" si="0"/>
        <v>0.39669990196703492</v>
      </c>
      <c r="E27" s="189">
        <f>+SUM(E28:E33)</f>
        <v>13024243.76827177</v>
      </c>
      <c r="F27" s="98">
        <f t="shared" si="1"/>
        <v>0.37041133759957889</v>
      </c>
      <c r="G27" s="189">
        <f>+SUM(G28:G33)</f>
        <v>12724243.76827177</v>
      </c>
      <c r="H27" s="98">
        <f t="shared" si="2"/>
        <v>0.36187929510582734</v>
      </c>
      <c r="I27" s="189">
        <f t="shared" si="3"/>
        <v>-300000</v>
      </c>
      <c r="J27" s="98">
        <f t="shared" si="4"/>
        <v>-2.3033966911063715</v>
      </c>
    </row>
    <row r="28" spans="2:12">
      <c r="B28" s="99" t="s">
        <v>40</v>
      </c>
      <c r="C28" s="193">
        <v>647266.8600000001</v>
      </c>
      <c r="D28" s="101">
        <f t="shared" si="0"/>
        <v>1.9403097475870164E-2</v>
      </c>
      <c r="E28" s="193">
        <v>698651.48499726248</v>
      </c>
      <c r="F28" s="101">
        <f t="shared" si="1"/>
        <v>1.9869747194397578E-2</v>
      </c>
      <c r="G28" s="193">
        <v>698651.48499726248</v>
      </c>
      <c r="H28" s="101">
        <f t="shared" si="2"/>
        <v>1.9869747194397578E-2</v>
      </c>
      <c r="I28" s="193">
        <f t="shared" si="3"/>
        <v>0</v>
      </c>
      <c r="J28" s="101">
        <f t="shared" si="4"/>
        <v>0</v>
      </c>
    </row>
    <row r="29" spans="2:12">
      <c r="B29" s="99" t="s">
        <v>42</v>
      </c>
      <c r="C29" s="193">
        <v>1995183.6300000001</v>
      </c>
      <c r="D29" s="101">
        <f t="shared" si="0"/>
        <v>5.9809554370125591E-2</v>
      </c>
      <c r="E29" s="193">
        <v>1997965.7673730874</v>
      </c>
      <c r="F29" s="101">
        <f t="shared" si="1"/>
        <v>5.6822429427627073E-2</v>
      </c>
      <c r="G29" s="193">
        <v>1997965.7673730874</v>
      </c>
      <c r="H29" s="101">
        <f t="shared" si="2"/>
        <v>5.6822429427627073E-2</v>
      </c>
      <c r="I29" s="193">
        <f t="shared" si="3"/>
        <v>0</v>
      </c>
      <c r="J29" s="101">
        <f t="shared" si="4"/>
        <v>0</v>
      </c>
    </row>
    <row r="30" spans="2:12">
      <c r="B30" s="99" t="s">
        <v>45</v>
      </c>
      <c r="C30" s="193">
        <v>309851.25</v>
      </c>
      <c r="D30" s="101">
        <f t="shared" si="0"/>
        <v>9.2884007791936302E-3</v>
      </c>
      <c r="E30" s="193">
        <v>424373.88097611902</v>
      </c>
      <c r="F30" s="101">
        <f t="shared" si="1"/>
        <v>1.2069253285755047E-2</v>
      </c>
      <c r="G30" s="193">
        <v>424373.88097611902</v>
      </c>
      <c r="H30" s="101">
        <f t="shared" si="2"/>
        <v>1.2069253285755047E-2</v>
      </c>
      <c r="I30" s="193">
        <f t="shared" si="3"/>
        <v>0</v>
      </c>
      <c r="J30" s="101">
        <f t="shared" si="4"/>
        <v>0</v>
      </c>
    </row>
    <row r="31" spans="2:12">
      <c r="B31" s="99" t="s">
        <v>47</v>
      </c>
      <c r="C31" s="193">
        <v>3324177.16</v>
      </c>
      <c r="D31" s="101">
        <f t="shared" si="0"/>
        <v>9.9648749918296836E-2</v>
      </c>
      <c r="E31" s="193">
        <v>3266343.0516235088</v>
      </c>
      <c r="F31" s="101">
        <f t="shared" si="1"/>
        <v>9.2895259052073062E-2</v>
      </c>
      <c r="G31" s="193">
        <v>3666343.0516235088</v>
      </c>
      <c r="H31" s="101">
        <f t="shared" si="2"/>
        <v>0.10427131571040847</v>
      </c>
      <c r="I31" s="193">
        <f t="shared" si="3"/>
        <v>400000</v>
      </c>
      <c r="J31" s="101">
        <f t="shared" si="4"/>
        <v>12.246111130341419</v>
      </c>
    </row>
    <row r="32" spans="2:12">
      <c r="B32" s="99" t="s">
        <v>50</v>
      </c>
      <c r="C32" s="193">
        <v>3659024.1899999995</v>
      </c>
      <c r="D32" s="101">
        <f t="shared" si="0"/>
        <v>0.10968644837638813</v>
      </c>
      <c r="E32" s="193">
        <v>3355752.0175728933</v>
      </c>
      <c r="F32" s="101">
        <f t="shared" si="1"/>
        <v>9.5438062708081514E-2</v>
      </c>
      <c r="G32" s="193">
        <v>3355752.0175728933</v>
      </c>
      <c r="H32" s="101">
        <f t="shared" si="2"/>
        <v>9.5438062708081514E-2</v>
      </c>
      <c r="I32" s="193">
        <f t="shared" si="3"/>
        <v>0</v>
      </c>
      <c r="J32" s="101">
        <f t="shared" si="4"/>
        <v>0</v>
      </c>
    </row>
    <row r="33" spans="2:10">
      <c r="B33" s="99" t="s">
        <v>51</v>
      </c>
      <c r="C33" s="193">
        <v>3297987.09</v>
      </c>
      <c r="D33" s="101">
        <f t="shared" si="0"/>
        <v>9.8863651047160633E-2</v>
      </c>
      <c r="E33" s="193">
        <v>3281157.5657288986</v>
      </c>
      <c r="F33" s="101">
        <f t="shared" si="1"/>
        <v>9.331658593164463E-2</v>
      </c>
      <c r="G33" s="193">
        <v>2581157.5657288986</v>
      </c>
      <c r="H33" s="101">
        <f t="shared" si="2"/>
        <v>7.340848677955765E-2</v>
      </c>
      <c r="I33" s="193">
        <f t="shared" si="3"/>
        <v>-700000</v>
      </c>
      <c r="J33" s="101">
        <f t="shared" si="4"/>
        <v>-21.333934319746618</v>
      </c>
    </row>
    <row r="34" spans="2:10">
      <c r="B34" s="94" t="s">
        <v>53</v>
      </c>
      <c r="C34" s="189">
        <f>SUM(C35:C38)</f>
        <v>33088194.540000003</v>
      </c>
      <c r="D34" s="98">
        <f t="shared" si="0"/>
        <v>0.99188372468223518</v>
      </c>
      <c r="E34" s="189">
        <f>+SUM(E35:E38)</f>
        <v>31410770.914738216</v>
      </c>
      <c r="F34" s="98">
        <f t="shared" si="1"/>
        <v>0.89332677402013982</v>
      </c>
      <c r="G34" s="189">
        <f>+SUM(G35:G38)</f>
        <v>31310770.914738216</v>
      </c>
      <c r="H34" s="98">
        <f t="shared" si="2"/>
        <v>0.89048275985555603</v>
      </c>
      <c r="I34" s="189">
        <f t="shared" si="3"/>
        <v>-100000</v>
      </c>
      <c r="J34" s="98">
        <f t="shared" si="4"/>
        <v>-0.318362132121635</v>
      </c>
    </row>
    <row r="35" spans="2:10">
      <c r="B35" s="99" t="s">
        <v>55</v>
      </c>
      <c r="C35" s="193">
        <v>6034873.3200000003</v>
      </c>
      <c r="D35" s="101">
        <f t="shared" si="0"/>
        <v>0.18090719998006413</v>
      </c>
      <c r="E35" s="193">
        <v>5533606.7424404304</v>
      </c>
      <c r="F35" s="101">
        <f t="shared" si="1"/>
        <v>0.15737655956737298</v>
      </c>
      <c r="G35" s="193">
        <v>6533606.7424404304</v>
      </c>
      <c r="H35" s="101">
        <f t="shared" si="2"/>
        <v>0.1858167012132115</v>
      </c>
      <c r="I35" s="193">
        <f t="shared" si="3"/>
        <v>1000000</v>
      </c>
      <c r="J35" s="101">
        <f t="shared" si="4"/>
        <v>18.071396225727824</v>
      </c>
    </row>
    <row r="36" spans="2:10">
      <c r="B36" s="99" t="s">
        <v>57</v>
      </c>
      <c r="C36" s="193">
        <v>12316700.43</v>
      </c>
      <c r="D36" s="101">
        <f t="shared" si="0"/>
        <v>0.36921732563966259</v>
      </c>
      <c r="E36" s="193">
        <v>11824073.889814863</v>
      </c>
      <c r="F36" s="101">
        <f t="shared" si="1"/>
        <v>0.33627833625719566</v>
      </c>
      <c r="G36" s="193">
        <v>12424073.889814863</v>
      </c>
      <c r="H36" s="101">
        <f t="shared" si="2"/>
        <v>0.35334242124469878</v>
      </c>
      <c r="I36" s="193">
        <f t="shared" si="3"/>
        <v>600000</v>
      </c>
      <c r="J36" s="101">
        <f t="shared" si="4"/>
        <v>5.0743931879251249</v>
      </c>
    </row>
    <row r="37" spans="2:10">
      <c r="B37" s="99" t="s">
        <v>59</v>
      </c>
      <c r="C37" s="193">
        <v>2179410.2600000002</v>
      </c>
      <c r="D37" s="101">
        <f t="shared" si="0"/>
        <v>6.5332110027526411E-2</v>
      </c>
      <c r="E37" s="193">
        <v>2220205.3434794326</v>
      </c>
      <c r="F37" s="101">
        <f t="shared" si="1"/>
        <v>6.3142954451402653E-2</v>
      </c>
      <c r="G37" s="193">
        <v>2220205.3434794326</v>
      </c>
      <c r="H37" s="101">
        <f t="shared" si="2"/>
        <v>6.3142954451402653E-2</v>
      </c>
      <c r="I37" s="193">
        <f t="shared" si="3"/>
        <v>0</v>
      </c>
      <c r="J37" s="101">
        <f t="shared" si="4"/>
        <v>0</v>
      </c>
    </row>
    <row r="38" spans="2:10">
      <c r="B38" s="99" t="s">
        <v>53</v>
      </c>
      <c r="C38" s="193">
        <v>12557210.530000001</v>
      </c>
      <c r="D38" s="101">
        <f t="shared" si="0"/>
        <v>0.37642708903498195</v>
      </c>
      <c r="E38" s="193">
        <v>11832884.939003492</v>
      </c>
      <c r="F38" s="101">
        <f t="shared" si="1"/>
        <v>0.33652892374416871</v>
      </c>
      <c r="G38" s="193">
        <v>10132884.939003492</v>
      </c>
      <c r="H38" s="101">
        <f t="shared" si="2"/>
        <v>0.28818068294624322</v>
      </c>
      <c r="I38" s="193">
        <f t="shared" si="3"/>
        <v>-1700000</v>
      </c>
      <c r="J38" s="101">
        <f t="shared" si="4"/>
        <v>-14.366741574545941</v>
      </c>
    </row>
    <row r="39" spans="2:10">
      <c r="B39" s="94" t="s">
        <v>255</v>
      </c>
      <c r="C39" s="189">
        <v>7564493.0600000005</v>
      </c>
      <c r="D39" s="98">
        <f t="shared" si="0"/>
        <v>0.22676056085850488</v>
      </c>
      <c r="E39" s="189">
        <v>7046262.4871663069</v>
      </c>
      <c r="F39" s="98">
        <f t="shared" si="1"/>
        <v>0.20039670320876826</v>
      </c>
      <c r="G39" s="189">
        <v>7738476.4003799995</v>
      </c>
      <c r="H39" s="98">
        <f t="shared" si="2"/>
        <v>0.22008336494978584</v>
      </c>
      <c r="I39" s="189">
        <f t="shared" si="3"/>
        <v>692213.91321369261</v>
      </c>
      <c r="J39" s="98">
        <f t="shared" si="4"/>
        <v>9.8238451161087852</v>
      </c>
    </row>
    <row r="40" spans="2:10" ht="13.5" thickBot="1">
      <c r="B40" s="94" t="s">
        <v>123</v>
      </c>
      <c r="C40" s="193">
        <v>6615451.54</v>
      </c>
      <c r="D40" s="101">
        <f t="shared" si="0"/>
        <v>0.19831117427750797</v>
      </c>
      <c r="E40" s="189">
        <v>8000000</v>
      </c>
      <c r="F40" s="98">
        <f t="shared" si="1"/>
        <v>0.22752113316670824</v>
      </c>
      <c r="G40" s="189">
        <v>8000000</v>
      </c>
      <c r="H40" s="98">
        <f t="shared" si="2"/>
        <v>0.22752113316670824</v>
      </c>
      <c r="I40" s="189">
        <f t="shared" si="3"/>
        <v>0</v>
      </c>
      <c r="J40" s="98">
        <f t="shared" si="4"/>
        <v>0</v>
      </c>
    </row>
    <row r="41" spans="2:10" ht="14.25" thickTop="1" thickBot="1">
      <c r="B41" s="90" t="s">
        <v>62</v>
      </c>
      <c r="C41" s="91">
        <f>+C43+C54+C60+SUM(C63:C67)</f>
        <v>1363467004.0629177</v>
      </c>
      <c r="D41" s="92">
        <f t="shared" si="0"/>
        <v>40.87260575176898</v>
      </c>
      <c r="E41" s="91">
        <f>+E43+E54+E60+SUM(E63:E67)</f>
        <v>1327102106.4899998</v>
      </c>
      <c r="F41" s="92">
        <f t="shared" si="1"/>
        <v>37.742971887066275</v>
      </c>
      <c r="G41" s="91">
        <f>+G43+G54+G60+SUM(G63:G67)</f>
        <v>1342758271.0799997</v>
      </c>
      <c r="H41" s="92">
        <f t="shared" si="2"/>
        <v>38.188235425636442</v>
      </c>
      <c r="I41" s="91">
        <f t="shared" si="3"/>
        <v>15656164.589999914</v>
      </c>
      <c r="J41" s="92">
        <f t="shared" si="4"/>
        <v>1.1797256980782294</v>
      </c>
    </row>
    <row r="42" spans="2:10" ht="14.25" thickTop="1" thickBot="1">
      <c r="B42" s="90" t="s">
        <v>126</v>
      </c>
      <c r="C42" s="91">
        <f>+C41-C63</f>
        <v>1301681501.2029178</v>
      </c>
      <c r="D42" s="92">
        <f t="shared" si="0"/>
        <v>39.020463754898891</v>
      </c>
      <c r="E42" s="91">
        <f>+E41-E63</f>
        <v>1225281606.4899998</v>
      </c>
      <c r="F42" s="92">
        <f t="shared" si="1"/>
        <v>34.84718244461618</v>
      </c>
      <c r="G42" s="91">
        <f>+G41-G63</f>
        <v>1240937771.0799997</v>
      </c>
      <c r="H42" s="92">
        <f t="shared" si="2"/>
        <v>35.29244598318634</v>
      </c>
      <c r="I42" s="91">
        <f t="shared" ref="I42:I73" si="5">+G42-E42</f>
        <v>15656164.589999914</v>
      </c>
      <c r="J42" s="92">
        <f t="shared" si="4"/>
        <v>1.2777605170169295</v>
      </c>
    </row>
    <row r="43" spans="2:10" ht="13.5" thickTop="1">
      <c r="B43" s="94" t="s">
        <v>63</v>
      </c>
      <c r="C43" s="95">
        <f>+SUM(C44:C53)</f>
        <v>600287648.01291776</v>
      </c>
      <c r="D43" s="98">
        <f t="shared" si="0"/>
        <v>17.994803175857761</v>
      </c>
      <c r="E43" s="95">
        <f>+SUM(E44:E53)</f>
        <v>615023510.13</v>
      </c>
      <c r="F43" s="98">
        <f t="shared" si="1"/>
        <v>17.491355743618005</v>
      </c>
      <c r="G43" s="95">
        <f>+SUM(G44:G53)</f>
        <v>625526473.45999992</v>
      </c>
      <c r="H43" s="98">
        <f t="shared" si="2"/>
        <v>17.790061508424255</v>
      </c>
      <c r="I43" s="95">
        <f t="shared" si="5"/>
        <v>10502963.329999924</v>
      </c>
      <c r="J43" s="98">
        <f t="shared" si="4"/>
        <v>1.7077336324557564</v>
      </c>
    </row>
    <row r="44" spans="2:10">
      <c r="B44" s="94" t="s">
        <v>64</v>
      </c>
      <c r="C44" s="189">
        <v>366128508.17291778</v>
      </c>
      <c r="D44" s="98">
        <f t="shared" si="0"/>
        <v>10.975422305375018</v>
      </c>
      <c r="E44" s="189">
        <v>386488693.71999997</v>
      </c>
      <c r="F44" s="98">
        <f t="shared" si="1"/>
        <v>10.991793193911903</v>
      </c>
      <c r="G44" s="189">
        <v>386488693.71999997</v>
      </c>
      <c r="H44" s="98">
        <f t="shared" si="2"/>
        <v>10.991793193911903</v>
      </c>
      <c r="I44" s="189">
        <f t="shared" si="5"/>
        <v>0</v>
      </c>
      <c r="J44" s="98">
        <f t="shared" si="4"/>
        <v>0</v>
      </c>
    </row>
    <row r="45" spans="2:10">
      <c r="B45" s="94" t="s">
        <v>75</v>
      </c>
      <c r="C45" s="189">
        <v>12022159.040000001</v>
      </c>
      <c r="D45" s="98">
        <f t="shared" si="0"/>
        <v>0.36038786803256645</v>
      </c>
      <c r="E45" s="189">
        <v>11478163.960000001</v>
      </c>
      <c r="F45" s="98">
        <f t="shared" si="1"/>
        <v>0.3264406088565589</v>
      </c>
      <c r="G45" s="189">
        <v>11478163.960000001</v>
      </c>
      <c r="H45" s="98">
        <f t="shared" si="2"/>
        <v>0.3264406088565589</v>
      </c>
      <c r="I45" s="189">
        <f t="shared" si="5"/>
        <v>0</v>
      </c>
      <c r="J45" s="98">
        <f t="shared" si="4"/>
        <v>0</v>
      </c>
    </row>
    <row r="46" spans="2:10">
      <c r="B46" s="94" t="s">
        <v>448</v>
      </c>
      <c r="C46" s="189">
        <v>90442340.840000004</v>
      </c>
      <c r="D46" s="98">
        <f t="shared" si="0"/>
        <v>2.7111870910004456</v>
      </c>
      <c r="E46" s="189">
        <v>89210330.25999999</v>
      </c>
      <c r="F46" s="98">
        <f t="shared" si="1"/>
        <v>2.5371544288664349</v>
      </c>
      <c r="G46" s="189">
        <v>29295302.830000002</v>
      </c>
      <c r="H46" s="98">
        <f t="shared" si="2"/>
        <v>0.83316256204293437</v>
      </c>
      <c r="I46" s="189">
        <f t="shared" si="5"/>
        <v>-59915027.429999992</v>
      </c>
      <c r="J46" s="98">
        <f t="shared" si="4"/>
        <v>-67.161535278907735</v>
      </c>
    </row>
    <row r="47" spans="2:10">
      <c r="B47" s="94" t="s">
        <v>449</v>
      </c>
      <c r="C47" s="189"/>
      <c r="D47" s="98">
        <f t="shared" si="0"/>
        <v>0</v>
      </c>
      <c r="E47" s="189"/>
      <c r="F47" s="98">
        <f t="shared" si="1"/>
        <v>0</v>
      </c>
      <c r="G47" s="189">
        <v>40692845.799999997</v>
      </c>
      <c r="H47" s="98">
        <f t="shared" si="2"/>
        <v>1.1573102985242654</v>
      </c>
      <c r="I47" s="189">
        <f t="shared" si="5"/>
        <v>40692845.799999997</v>
      </c>
      <c r="J47" s="98" t="e">
        <f t="shared" si="4"/>
        <v>#DIV/0!</v>
      </c>
    </row>
    <row r="48" spans="2:10">
      <c r="B48" s="94" t="s">
        <v>450</v>
      </c>
      <c r="C48" s="189">
        <v>20416485.639999997</v>
      </c>
      <c r="D48" s="98">
        <f t="shared" si="0"/>
        <v>0.61202432175752564</v>
      </c>
      <c r="E48" s="189">
        <v>21655403.200000003</v>
      </c>
      <c r="F48" s="98">
        <f t="shared" si="1"/>
        <v>0.61588273440574504</v>
      </c>
      <c r="G48" s="189">
        <v>21655403.200000003</v>
      </c>
      <c r="H48" s="98">
        <f t="shared" si="2"/>
        <v>0.61588273440574504</v>
      </c>
      <c r="I48" s="189">
        <f t="shared" si="5"/>
        <v>0</v>
      </c>
      <c r="J48" s="98">
        <f t="shared" si="4"/>
        <v>0</v>
      </c>
    </row>
    <row r="49" spans="2:10">
      <c r="B49" s="94" t="s">
        <v>80</v>
      </c>
      <c r="C49" s="189">
        <v>67427730.789999992</v>
      </c>
      <c r="D49" s="98">
        <f t="shared" si="0"/>
        <v>2.0212788788462022</v>
      </c>
      <c r="E49" s="189">
        <v>73316123.120000005</v>
      </c>
      <c r="F49" s="98">
        <f t="shared" si="1"/>
        <v>2.0851209264565371</v>
      </c>
      <c r="G49" s="189">
        <v>73316123.120000005</v>
      </c>
      <c r="H49" s="98">
        <f t="shared" si="2"/>
        <v>2.0851209264565371</v>
      </c>
      <c r="I49" s="189">
        <f t="shared" si="5"/>
        <v>0</v>
      </c>
      <c r="J49" s="98">
        <f t="shared" si="4"/>
        <v>0</v>
      </c>
    </row>
    <row r="50" spans="2:10">
      <c r="B50" s="94" t="s">
        <v>82</v>
      </c>
      <c r="C50" s="189">
        <v>7928041.8100000005</v>
      </c>
      <c r="D50" s="98">
        <f t="shared" si="0"/>
        <v>0.23765864983757101</v>
      </c>
      <c r="E50" s="189">
        <v>8172802.1399999997</v>
      </c>
      <c r="F50" s="98">
        <f t="shared" si="1"/>
        <v>0.23243565050501225</v>
      </c>
      <c r="G50" s="189">
        <v>8172802.1399999997</v>
      </c>
      <c r="H50" s="98">
        <f t="shared" si="2"/>
        <v>0.23243565050501225</v>
      </c>
      <c r="I50" s="189">
        <f t="shared" si="5"/>
        <v>0</v>
      </c>
      <c r="J50" s="98">
        <f t="shared" si="4"/>
        <v>0</v>
      </c>
    </row>
    <row r="51" spans="2:10">
      <c r="B51" s="94" t="s">
        <v>84</v>
      </c>
      <c r="C51" s="189">
        <v>17426749.959999997</v>
      </c>
      <c r="D51" s="98">
        <f t="shared" si="0"/>
        <v>0.52240111313824467</v>
      </c>
      <c r="E51" s="189">
        <v>18874600</v>
      </c>
      <c r="F51" s="98">
        <f t="shared" si="1"/>
        <v>0.53679629750854385</v>
      </c>
      <c r="G51" s="189">
        <v>18874600</v>
      </c>
      <c r="H51" s="98">
        <f t="shared" si="2"/>
        <v>0.53679629750854385</v>
      </c>
      <c r="I51" s="189">
        <f t="shared" si="5"/>
        <v>0</v>
      </c>
      <c r="J51" s="98">
        <f t="shared" si="4"/>
        <v>0</v>
      </c>
    </row>
    <row r="52" spans="2:10">
      <c r="B52" s="94" t="s">
        <v>86</v>
      </c>
      <c r="C52" s="189">
        <v>6279093.0100000007</v>
      </c>
      <c r="D52" s="98">
        <f t="shared" si="0"/>
        <v>0.18822816563339112</v>
      </c>
      <c r="E52" s="189">
        <v>5827393.7300000023</v>
      </c>
      <c r="F52" s="98">
        <f t="shared" si="1"/>
        <v>0.16573190310727137</v>
      </c>
      <c r="G52" s="189">
        <v>25049575.370000001</v>
      </c>
      <c r="H52" s="98">
        <f t="shared" si="2"/>
        <v>0.71241347169090818</v>
      </c>
      <c r="I52" s="189">
        <f t="shared" si="5"/>
        <v>19222181.640000001</v>
      </c>
      <c r="J52" s="98">
        <f>+G52/E52*100-100</f>
        <v>329.85898208734892</v>
      </c>
    </row>
    <row r="53" spans="2:10">
      <c r="B53" s="94" t="s">
        <v>130</v>
      </c>
      <c r="C53" s="189">
        <v>12216538.75</v>
      </c>
      <c r="D53" s="195">
        <f t="shared" si="0"/>
        <v>0.36621478223679643</v>
      </c>
      <c r="E53" s="189"/>
      <c r="F53" s="195">
        <f t="shared" si="1"/>
        <v>0</v>
      </c>
      <c r="G53" s="189">
        <v>10502963.32</v>
      </c>
      <c r="H53" s="195">
        <f t="shared" si="2"/>
        <v>0.2987057645218465</v>
      </c>
      <c r="I53" s="189">
        <f t="shared" si="5"/>
        <v>10502963.32</v>
      </c>
      <c r="J53" s="195" t="e">
        <f t="shared" si="4"/>
        <v>#DIV/0!</v>
      </c>
    </row>
    <row r="54" spans="2:10">
      <c r="B54" s="94" t="s">
        <v>87</v>
      </c>
      <c r="C54" s="95">
        <f>+SUM(C55:C59)</f>
        <v>482967769.27999985</v>
      </c>
      <c r="D54" s="98">
        <f t="shared" si="0"/>
        <v>14.47790901119734</v>
      </c>
      <c r="E54" s="95">
        <f>+SUM(E55:E59)</f>
        <v>498223398.96999997</v>
      </c>
      <c r="F54" s="98">
        <f t="shared" si="1"/>
        <v>14.169544037977921</v>
      </c>
      <c r="G54" s="95">
        <f>+SUM(G55:G59)</f>
        <v>498223398.96999997</v>
      </c>
      <c r="H54" s="98">
        <f t="shared" si="2"/>
        <v>14.169544037977921</v>
      </c>
      <c r="I54" s="95">
        <f t="shared" si="5"/>
        <v>0</v>
      </c>
      <c r="J54" s="98">
        <f t="shared" si="4"/>
        <v>0</v>
      </c>
    </row>
    <row r="55" spans="2:10">
      <c r="B55" s="99" t="s">
        <v>89</v>
      </c>
      <c r="C55" s="193">
        <v>64036543.990000002</v>
      </c>
      <c r="D55" s="101">
        <f t="shared" si="0"/>
        <v>1.919621383142986</v>
      </c>
      <c r="E55" s="193">
        <v>58645000</v>
      </c>
      <c r="F55" s="101">
        <f t="shared" si="1"/>
        <v>1.6678721068202007</v>
      </c>
      <c r="G55" s="193">
        <v>58645000</v>
      </c>
      <c r="H55" s="101">
        <f t="shared" si="2"/>
        <v>1.6678721068202007</v>
      </c>
      <c r="I55" s="193">
        <f t="shared" si="5"/>
        <v>0</v>
      </c>
      <c r="J55" s="101">
        <f t="shared" si="4"/>
        <v>0</v>
      </c>
    </row>
    <row r="56" spans="2:10">
      <c r="B56" s="99" t="s">
        <v>91</v>
      </c>
      <c r="C56" s="193">
        <v>13086355.520000001</v>
      </c>
      <c r="D56" s="101">
        <f t="shared" si="0"/>
        <v>0.39228925108022916</v>
      </c>
      <c r="E56" s="193">
        <v>20758124</v>
      </c>
      <c r="F56" s="101">
        <f t="shared" si="1"/>
        <v>0.59036398686188019</v>
      </c>
      <c r="G56" s="193">
        <v>20758124</v>
      </c>
      <c r="H56" s="101">
        <f t="shared" si="2"/>
        <v>0.59036398686188019</v>
      </c>
      <c r="I56" s="193">
        <f t="shared" si="5"/>
        <v>0</v>
      </c>
      <c r="J56" s="101">
        <f t="shared" si="4"/>
        <v>0</v>
      </c>
    </row>
    <row r="57" spans="2:10">
      <c r="B57" s="99" t="s">
        <v>93</v>
      </c>
      <c r="C57" s="193">
        <v>383190248.31999987</v>
      </c>
      <c r="D57" s="101">
        <f t="shared" si="0"/>
        <v>11.486881531298929</v>
      </c>
      <c r="E57" s="193">
        <v>397320274.96999997</v>
      </c>
      <c r="F57" s="101">
        <f t="shared" si="1"/>
        <v>11.299844898910312</v>
      </c>
      <c r="G57" s="193">
        <v>397320274.96999997</v>
      </c>
      <c r="H57" s="101">
        <f t="shared" si="2"/>
        <v>11.299844898910312</v>
      </c>
      <c r="I57" s="193">
        <f t="shared" si="5"/>
        <v>0</v>
      </c>
      <c r="J57" s="101">
        <f t="shared" si="4"/>
        <v>0</v>
      </c>
    </row>
    <row r="58" spans="2:10">
      <c r="B58" s="99" t="s">
        <v>95</v>
      </c>
      <c r="C58" s="193">
        <v>14792096.089999998</v>
      </c>
      <c r="D58" s="101">
        <f t="shared" si="0"/>
        <v>0.44342218031478986</v>
      </c>
      <c r="E58" s="193">
        <v>14500000</v>
      </c>
      <c r="F58" s="101">
        <f t="shared" si="1"/>
        <v>0.4123820538646587</v>
      </c>
      <c r="G58" s="193">
        <v>14500000</v>
      </c>
      <c r="H58" s="101">
        <f t="shared" si="2"/>
        <v>0.4123820538646587</v>
      </c>
      <c r="I58" s="193">
        <f t="shared" si="5"/>
        <v>0</v>
      </c>
      <c r="J58" s="101">
        <f t="shared" si="4"/>
        <v>0</v>
      </c>
    </row>
    <row r="59" spans="2:10">
      <c r="B59" s="99" t="s">
        <v>451</v>
      </c>
      <c r="C59" s="193">
        <v>7862525.3600000013</v>
      </c>
      <c r="D59" s="101">
        <f t="shared" si="0"/>
        <v>0.23569466536040659</v>
      </c>
      <c r="E59" s="193">
        <v>7000000</v>
      </c>
      <c r="F59" s="101">
        <f t="shared" si="1"/>
        <v>0.19908099152086972</v>
      </c>
      <c r="G59" s="193">
        <v>7000000</v>
      </c>
      <c r="H59" s="101">
        <f t="shared" si="2"/>
        <v>0.19908099152086972</v>
      </c>
      <c r="I59" s="193">
        <f t="shared" si="5"/>
        <v>0</v>
      </c>
      <c r="J59" s="101">
        <f t="shared" si="4"/>
        <v>0</v>
      </c>
    </row>
    <row r="60" spans="2:10">
      <c r="B60" s="94" t="s">
        <v>452</v>
      </c>
      <c r="C60" s="95">
        <f>+SUM(C61:C62)</f>
        <v>94307106.209999993</v>
      </c>
      <c r="D60" s="98">
        <f t="shared" si="0"/>
        <v>2.8270410359953697</v>
      </c>
      <c r="E60" s="95">
        <f>+SUM(E61:E62)</f>
        <v>101040047.61999999</v>
      </c>
      <c r="F60" s="98">
        <f t="shared" si="1"/>
        <v>2.8735932662150696</v>
      </c>
      <c r="G60" s="95">
        <f>+SUM(G61:G62)</f>
        <v>101040047.61999999</v>
      </c>
      <c r="H60" s="98">
        <f t="shared" si="2"/>
        <v>2.8735932662150696</v>
      </c>
      <c r="I60" s="95">
        <f t="shared" si="5"/>
        <v>0</v>
      </c>
      <c r="J60" s="98">
        <f t="shared" si="4"/>
        <v>0</v>
      </c>
    </row>
    <row r="61" spans="2:10">
      <c r="B61" s="99" t="s">
        <v>452</v>
      </c>
      <c r="C61" s="193">
        <v>94307106.209999993</v>
      </c>
      <c r="D61" s="101">
        <f t="shared" si="0"/>
        <v>2.8270410359953697</v>
      </c>
      <c r="E61" s="193">
        <v>101040047.61999999</v>
      </c>
      <c r="F61" s="101">
        <f t="shared" si="1"/>
        <v>2.8735932662150696</v>
      </c>
      <c r="G61" s="193">
        <v>101040047.61999999</v>
      </c>
      <c r="H61" s="101">
        <f t="shared" si="2"/>
        <v>2.8735932662150696</v>
      </c>
      <c r="I61" s="193">
        <f t="shared" si="5"/>
        <v>0</v>
      </c>
      <c r="J61" s="101">
        <f t="shared" si="4"/>
        <v>0</v>
      </c>
    </row>
    <row r="62" spans="2:10" ht="13.5" thickBot="1">
      <c r="B62" s="99" t="s">
        <v>453</v>
      </c>
      <c r="C62" s="193"/>
      <c r="D62" s="101">
        <f t="shared" si="0"/>
        <v>0</v>
      </c>
      <c r="E62" s="193"/>
      <c r="F62" s="101">
        <f t="shared" si="1"/>
        <v>0</v>
      </c>
      <c r="G62" s="193"/>
      <c r="H62" s="101">
        <f t="shared" si="2"/>
        <v>0</v>
      </c>
      <c r="I62" s="193">
        <f t="shared" si="5"/>
        <v>0</v>
      </c>
      <c r="J62" s="101" t="e">
        <f t="shared" si="4"/>
        <v>#DIV/0!</v>
      </c>
    </row>
    <row r="63" spans="2:10" ht="14.25" thickTop="1" thickBot="1">
      <c r="B63" s="90" t="s">
        <v>131</v>
      </c>
      <c r="C63" s="199">
        <v>61785502.860000007</v>
      </c>
      <c r="D63" s="92">
        <f t="shared" si="0"/>
        <v>1.8521419968700925</v>
      </c>
      <c r="E63" s="199">
        <v>101820500</v>
      </c>
      <c r="F63" s="92">
        <f t="shared" si="1"/>
        <v>2.8957894424501021</v>
      </c>
      <c r="G63" s="199">
        <v>101820500</v>
      </c>
      <c r="H63" s="92">
        <f t="shared" si="2"/>
        <v>2.8957894424501021</v>
      </c>
      <c r="I63" s="199">
        <f t="shared" si="5"/>
        <v>0</v>
      </c>
      <c r="J63" s="92">
        <f t="shared" si="4"/>
        <v>0</v>
      </c>
    </row>
    <row r="64" spans="2:10" ht="13.5" thickTop="1">
      <c r="B64" s="94" t="s">
        <v>111</v>
      </c>
      <c r="C64" s="189">
        <v>2752781.9799999995</v>
      </c>
      <c r="D64" s="98">
        <f t="shared" si="0"/>
        <v>8.2520055310353516E-2</v>
      </c>
      <c r="E64" s="189">
        <v>2140000</v>
      </c>
      <c r="F64" s="98">
        <f t="shared" si="1"/>
        <v>6.0861903122094448E-2</v>
      </c>
      <c r="G64" s="189">
        <v>2140000</v>
      </c>
      <c r="H64" s="98">
        <f t="shared" si="2"/>
        <v>6.0861903122094448E-2</v>
      </c>
      <c r="I64" s="189">
        <f t="shared" si="5"/>
        <v>0</v>
      </c>
      <c r="J64" s="98">
        <f t="shared" si="4"/>
        <v>0</v>
      </c>
    </row>
    <row r="65" spans="2:10" ht="13.5" thickBot="1">
      <c r="B65" s="94" t="s">
        <v>118</v>
      </c>
      <c r="C65" s="189">
        <v>14126844.789999999</v>
      </c>
      <c r="D65" s="98">
        <f t="shared" si="0"/>
        <v>0.42347996386970665</v>
      </c>
      <c r="E65" s="189">
        <v>8854649.7699999996</v>
      </c>
      <c r="F65" s="98">
        <f t="shared" si="1"/>
        <v>0.25182749368309154</v>
      </c>
      <c r="G65" s="189">
        <v>8854649.7699999996</v>
      </c>
      <c r="H65" s="98">
        <f t="shared" si="2"/>
        <v>0.25182749368309154</v>
      </c>
      <c r="I65" s="189">
        <f t="shared" si="5"/>
        <v>0</v>
      </c>
      <c r="J65" s="98">
        <f t="shared" si="4"/>
        <v>0</v>
      </c>
    </row>
    <row r="66" spans="2:10" ht="14.25" thickTop="1" thickBot="1">
      <c r="B66" s="181" t="s">
        <v>113</v>
      </c>
      <c r="C66" s="200">
        <v>107239350.92999999</v>
      </c>
      <c r="D66" s="183">
        <f t="shared" si="0"/>
        <v>3.2147105126683559</v>
      </c>
      <c r="E66" s="200">
        <v>0</v>
      </c>
      <c r="F66" s="183">
        <f t="shared" si="1"/>
        <v>0</v>
      </c>
      <c r="G66" s="200">
        <v>5153201.26</v>
      </c>
      <c r="H66" s="183">
        <f t="shared" si="2"/>
        <v>0.14655777376391357</v>
      </c>
      <c r="I66" s="200">
        <f t="shared" si="5"/>
        <v>5153201.26</v>
      </c>
      <c r="J66" s="183" t="e">
        <f t="shared" si="4"/>
        <v>#DIV/0!</v>
      </c>
    </row>
    <row r="67" spans="2:10" ht="14.25" thickTop="1" thickBot="1">
      <c r="B67" s="251" t="s">
        <v>152</v>
      </c>
      <c r="C67" s="189">
        <v>0</v>
      </c>
      <c r="D67" s="98">
        <f t="shared" si="0"/>
        <v>0</v>
      </c>
      <c r="E67" s="189">
        <v>0</v>
      </c>
      <c r="F67" s="98">
        <f t="shared" si="1"/>
        <v>0</v>
      </c>
      <c r="G67" s="189">
        <v>0</v>
      </c>
      <c r="H67" s="98">
        <f t="shared" si="2"/>
        <v>0</v>
      </c>
      <c r="I67" s="189">
        <f t="shared" si="5"/>
        <v>0</v>
      </c>
      <c r="J67" s="98" t="e">
        <f t="shared" si="4"/>
        <v>#DIV/0!</v>
      </c>
    </row>
    <row r="68" spans="2:10" ht="14.25" thickTop="1" thickBot="1">
      <c r="B68" s="90" t="s">
        <v>132</v>
      </c>
      <c r="C68" s="91">
        <f>+C8-C41</f>
        <v>-128320624.58291769</v>
      </c>
      <c r="D68" s="92">
        <f t="shared" si="0"/>
        <v>-3.8466631629292634</v>
      </c>
      <c r="E68" s="91">
        <f>+E8-E41</f>
        <v>-51045707.052829504</v>
      </c>
      <c r="F68" s="92">
        <f t="shared" si="1"/>
        <v>-1.4517471389944498</v>
      </c>
      <c r="G68" s="91">
        <f>+G8-G41</f>
        <v>-26424601.993229389</v>
      </c>
      <c r="H68" s="92">
        <f t="shared" si="2"/>
        <v>-0.75151942362235102</v>
      </c>
      <c r="I68" s="91">
        <f t="shared" si="5"/>
        <v>24621105.059600115</v>
      </c>
      <c r="J68" s="92">
        <f t="shared" si="4"/>
        <v>-48.23344896392291</v>
      </c>
    </row>
    <row r="69" spans="2:10" ht="14.25" thickTop="1" thickBot="1">
      <c r="B69" s="90" t="s">
        <v>133</v>
      </c>
      <c r="C69" s="91">
        <f>+C68+C49</f>
        <v>-60892893.792917699</v>
      </c>
      <c r="D69" s="92">
        <f t="shared" si="0"/>
        <v>-1.8253842840830612</v>
      </c>
      <c r="E69" s="91">
        <f>+E68+E49</f>
        <v>22270416.067170501</v>
      </c>
      <c r="F69" s="92">
        <f t="shared" si="1"/>
        <v>0.63337378746208728</v>
      </c>
      <c r="G69" s="91">
        <f>+G68+G49</f>
        <v>46891521.126770616</v>
      </c>
      <c r="H69" s="92">
        <f t="shared" si="2"/>
        <v>1.3336015028341861</v>
      </c>
      <c r="I69" s="91">
        <f t="shared" si="5"/>
        <v>24621105.059600115</v>
      </c>
      <c r="J69" s="92">
        <f t="shared" si="4"/>
        <v>110.55520914086037</v>
      </c>
    </row>
    <row r="70" spans="2:10" ht="14.25" thickTop="1" thickBot="1">
      <c r="B70" s="90" t="s">
        <v>0</v>
      </c>
      <c r="C70" s="91">
        <f>+SUM(C71:C73)</f>
        <v>241777428.00999996</v>
      </c>
      <c r="D70" s="92">
        <f t="shared" si="0"/>
        <v>7.2477540455928944</v>
      </c>
      <c r="E70" s="91">
        <f>+SUM(E71:E73)</f>
        <v>171426905.49000001</v>
      </c>
      <c r="F70" s="92">
        <f t="shared" si="1"/>
        <v>4.875405474043375</v>
      </c>
      <c r="G70" s="91">
        <f>+SUM(G71:G73)</f>
        <v>171426905.49000001</v>
      </c>
      <c r="H70" s="92">
        <f t="shared" si="2"/>
        <v>4.875405474043375</v>
      </c>
      <c r="I70" s="91">
        <f t="shared" si="5"/>
        <v>0</v>
      </c>
      <c r="J70" s="92">
        <f t="shared" si="4"/>
        <v>0</v>
      </c>
    </row>
    <row r="71" spans="2:10" ht="13.5" thickTop="1">
      <c r="B71" s="99" t="s">
        <v>135</v>
      </c>
      <c r="C71" s="193">
        <v>112695950.91</v>
      </c>
      <c r="D71" s="101">
        <f t="shared" si="0"/>
        <v>3.3782828316632929</v>
      </c>
      <c r="E71" s="193">
        <v>30008345.27</v>
      </c>
      <c r="F71" s="101">
        <f t="shared" si="1"/>
        <v>0.8534415900360286</v>
      </c>
      <c r="G71" s="193">
        <v>30008345.27</v>
      </c>
      <c r="H71" s="101">
        <f t="shared" si="2"/>
        <v>0.8534415900360286</v>
      </c>
      <c r="I71" s="193">
        <f t="shared" si="5"/>
        <v>0</v>
      </c>
      <c r="J71" s="101">
        <f t="shared" si="4"/>
        <v>0</v>
      </c>
    </row>
    <row r="72" spans="2:10">
      <c r="B72" s="99" t="s">
        <v>137</v>
      </c>
      <c r="C72" s="193">
        <v>68802905.489999995</v>
      </c>
      <c r="D72" s="101">
        <f t="shared" si="0"/>
        <v>2.0625024458158605</v>
      </c>
      <c r="E72" s="193">
        <v>108080400.25</v>
      </c>
      <c r="F72" s="101">
        <f t="shared" si="1"/>
        <v>3.073821892248922</v>
      </c>
      <c r="G72" s="193">
        <v>108080400.25</v>
      </c>
      <c r="H72" s="101">
        <f t="shared" si="2"/>
        <v>3.073821892248922</v>
      </c>
      <c r="I72" s="193">
        <f t="shared" si="5"/>
        <v>0</v>
      </c>
      <c r="J72" s="101">
        <f t="shared" si="4"/>
        <v>0</v>
      </c>
    </row>
    <row r="73" spans="2:10" ht="13.5" thickBot="1">
      <c r="B73" s="99" t="s">
        <v>116</v>
      </c>
      <c r="C73" s="193">
        <v>60278571.609999992</v>
      </c>
      <c r="D73" s="101">
        <f t="shared" ref="D73:D79" si="6">C73/C$3*100</f>
        <v>1.8069687681137414</v>
      </c>
      <c r="E73" s="193">
        <v>33338159.969999999</v>
      </c>
      <c r="F73" s="101">
        <f t="shared" si="1"/>
        <v>0.94814199175842395</v>
      </c>
      <c r="G73" s="193">
        <v>33338159.969999999</v>
      </c>
      <c r="H73" s="101">
        <f t="shared" ref="H73:H79" si="7">G73/E$3*100</f>
        <v>0.94814199175842395</v>
      </c>
      <c r="I73" s="193">
        <f t="shared" si="5"/>
        <v>0</v>
      </c>
      <c r="J73" s="101">
        <f t="shared" si="4"/>
        <v>0</v>
      </c>
    </row>
    <row r="74" spans="2:10" ht="14.25" thickTop="1" thickBot="1">
      <c r="B74" s="90" t="s">
        <v>141</v>
      </c>
      <c r="C74" s="91">
        <f>+C68-C70</f>
        <v>-370098052.59291768</v>
      </c>
      <c r="D74" s="92">
        <f t="shared" si="6"/>
        <v>-11.09441720852216</v>
      </c>
      <c r="E74" s="91">
        <f>+E68-E70</f>
        <v>-222472612.54282951</v>
      </c>
      <c r="F74" s="92">
        <f t="shared" ref="F74:F79" si="8">E74/E$3*100</f>
        <v>-6.3271526130378248</v>
      </c>
      <c r="G74" s="91">
        <v>-205851507.4832294</v>
      </c>
      <c r="H74" s="92">
        <f t="shared" si="7"/>
        <v>-5.8544460308324338</v>
      </c>
      <c r="I74" s="91">
        <f t="shared" ref="I74:I79" si="9">+G74-E74</f>
        <v>16621105.059600115</v>
      </c>
      <c r="J74" s="92">
        <f t="shared" ref="J74:J79" si="10">+G74/E74*100-100</f>
        <v>-7.4710791902083145</v>
      </c>
    </row>
    <row r="75" spans="2:10" ht="14.25" thickTop="1" thickBot="1">
      <c r="B75" s="90" t="s">
        <v>121</v>
      </c>
      <c r="C75" s="91">
        <f>+SUM(C76:C80)</f>
        <v>370098052.59291768</v>
      </c>
      <c r="D75" s="92">
        <f t="shared" si="6"/>
        <v>11.09441720852216</v>
      </c>
      <c r="E75" s="91">
        <f>+SUM(E76:E79)</f>
        <v>222472612.54282951</v>
      </c>
      <c r="F75" s="92">
        <f t="shared" si="8"/>
        <v>6.3271526130378248</v>
      </c>
      <c r="G75" s="91">
        <f>+SUM(G76:G79)</f>
        <v>205851507.4832294</v>
      </c>
      <c r="H75" s="92">
        <f t="shared" si="7"/>
        <v>5.8544460308324338</v>
      </c>
      <c r="I75" s="91">
        <f t="shared" si="9"/>
        <v>-16621105.059600115</v>
      </c>
      <c r="J75" s="92">
        <f t="shared" si="10"/>
        <v>-7.4710791902083145</v>
      </c>
    </row>
    <row r="76" spans="2:10" ht="13.5" thickTop="1">
      <c r="B76" s="99" t="s">
        <v>144</v>
      </c>
      <c r="C76" s="193">
        <v>102834751.84999999</v>
      </c>
      <c r="D76" s="101">
        <f t="shared" si="6"/>
        <v>3.0826739902186082</v>
      </c>
      <c r="E76" s="193">
        <v>0</v>
      </c>
      <c r="F76" s="101">
        <f t="shared" si="8"/>
        <v>0</v>
      </c>
      <c r="G76" s="253">
        <v>0</v>
      </c>
      <c r="H76" s="254">
        <f t="shared" si="7"/>
        <v>0</v>
      </c>
      <c r="I76" s="193">
        <f t="shared" si="9"/>
        <v>0</v>
      </c>
      <c r="J76" s="101" t="e">
        <f t="shared" si="10"/>
        <v>#DIV/0!</v>
      </c>
    </row>
    <row r="77" spans="2:10">
      <c r="B77" s="99" t="s">
        <v>122</v>
      </c>
      <c r="C77" s="193">
        <v>230537476.81999999</v>
      </c>
      <c r="D77" s="101">
        <f t="shared" si="6"/>
        <v>6.910814396676539</v>
      </c>
      <c r="E77" s="193">
        <v>227975575.86282945</v>
      </c>
      <c r="F77" s="101">
        <f t="shared" si="8"/>
        <v>6.4836576693304764</v>
      </c>
      <c r="G77" s="253">
        <v>227975575.86282945</v>
      </c>
      <c r="H77" s="254">
        <f t="shared" si="7"/>
        <v>6.4836576693304764</v>
      </c>
      <c r="I77" s="193">
        <f t="shared" si="9"/>
        <v>0</v>
      </c>
      <c r="J77" s="101">
        <f t="shared" si="10"/>
        <v>0</v>
      </c>
    </row>
    <row r="78" spans="2:10" ht="13.5" thickBot="1">
      <c r="B78" s="113" t="s">
        <v>329</v>
      </c>
      <c r="C78" s="193">
        <v>11948846.35</v>
      </c>
      <c r="D78" s="115">
        <f t="shared" si="6"/>
        <v>0.35819017592410862</v>
      </c>
      <c r="E78" s="193">
        <v>5000000</v>
      </c>
      <c r="F78" s="115">
        <f t="shared" si="8"/>
        <v>0.14220070822919265</v>
      </c>
      <c r="G78" s="253">
        <v>5000000</v>
      </c>
      <c r="H78" s="254">
        <f t="shared" si="7"/>
        <v>0.14220070822919265</v>
      </c>
      <c r="I78" s="193">
        <f t="shared" si="9"/>
        <v>0</v>
      </c>
      <c r="J78" s="115">
        <f t="shared" si="10"/>
        <v>0</v>
      </c>
    </row>
    <row r="79" spans="2:10" ht="14.25" thickTop="1" thickBot="1">
      <c r="B79" s="181" t="s">
        <v>125</v>
      </c>
      <c r="C79" s="182">
        <f>-C74-SUM(C76:C78)</f>
        <v>24776977.5729177</v>
      </c>
      <c r="D79" s="183">
        <f t="shared" si="6"/>
        <v>0.74273864570290371</v>
      </c>
      <c r="E79" s="182">
        <f>-E74-SUM(E76:E78)</f>
        <v>-10502963.319999933</v>
      </c>
      <c r="F79" s="183">
        <f t="shared" si="8"/>
        <v>-0.29870576452184461</v>
      </c>
      <c r="G79" s="255">
        <f>-G74-SUM(G76:G78)</f>
        <v>-27124068.379600048</v>
      </c>
      <c r="H79" s="256">
        <f t="shared" si="7"/>
        <v>-0.77141234672723535</v>
      </c>
      <c r="I79" s="182">
        <f t="shared" si="9"/>
        <v>-16621105.059600115</v>
      </c>
      <c r="J79" s="183">
        <f t="shared" si="10"/>
        <v>158.25157675215246</v>
      </c>
    </row>
    <row r="80" spans="2:10" ht="13.5" thickTop="1"/>
  </sheetData>
  <mergeCells count="6">
    <mergeCell ref="I6:J6"/>
    <mergeCell ref="E3:H3"/>
    <mergeCell ref="C6:D6"/>
    <mergeCell ref="C3:D3"/>
    <mergeCell ref="E6:F6"/>
    <mergeCell ref="G6:H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C4:G6"/>
  <sheetViews>
    <sheetView workbookViewId="0">
      <selection activeCell="N16" sqref="N16"/>
    </sheetView>
  </sheetViews>
  <sheetFormatPr defaultRowHeight="12.75"/>
  <cols>
    <col min="3" max="3" width="27.85546875" bestFit="1" customWidth="1"/>
    <col min="4" max="4" width="15.140625" bestFit="1" customWidth="1"/>
    <col min="5" max="7" width="16.140625" bestFit="1" customWidth="1"/>
  </cols>
  <sheetData>
    <row r="4" spans="3:7">
      <c r="D4" t="s">
        <v>467</v>
      </c>
      <c r="E4">
        <v>2015</v>
      </c>
      <c r="F4">
        <v>2016</v>
      </c>
      <c r="G4">
        <v>2017</v>
      </c>
    </row>
    <row r="5" spans="3:7">
      <c r="C5" t="s">
        <v>465</v>
      </c>
      <c r="D5" s="250">
        <v>-26424601.993229389</v>
      </c>
      <c r="E5" s="250">
        <v>-24569497.372829676</v>
      </c>
      <c r="F5" s="250">
        <v>33498994.005818129</v>
      </c>
      <c r="G5" s="250">
        <v>103834080.12588143</v>
      </c>
    </row>
    <row r="6" spans="3:7">
      <c r="C6" t="s">
        <v>466</v>
      </c>
      <c r="D6" s="250">
        <v>-51424601.993229389</v>
      </c>
      <c r="E6" s="250">
        <v>-149569497.37282968</v>
      </c>
      <c r="F6" s="250">
        <v>-191501005.99418187</v>
      </c>
      <c r="G6" s="250">
        <v>-221165919.87411857</v>
      </c>
    </row>
  </sheetData>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7D49-34DE-44F5-8847-C462A0B4336C}">
  <dimension ref="B2:E93"/>
  <sheetViews>
    <sheetView showGridLines="0" zoomScale="85" zoomScaleNormal="85" workbookViewId="0">
      <selection activeCell="D33" sqref="D33"/>
    </sheetView>
  </sheetViews>
  <sheetFormatPr defaultColWidth="9.140625" defaultRowHeight="15"/>
  <cols>
    <col min="1" max="1" width="9.140625" style="367"/>
    <col min="2" max="2" width="9.7109375" style="367" customWidth="1"/>
    <col min="3" max="3" width="75.7109375" style="368" customWidth="1"/>
    <col min="4" max="4" width="19.7109375" style="367" customWidth="1"/>
    <col min="5" max="16384" width="9.140625" style="367"/>
  </cols>
  <sheetData>
    <row r="2" spans="2:5" ht="15.75" thickBot="1"/>
    <row r="3" spans="2:5" ht="28.5" thickTop="1" thickBot="1">
      <c r="B3" s="369" t="s">
        <v>394</v>
      </c>
      <c r="C3" s="370" t="s">
        <v>395</v>
      </c>
      <c r="D3" s="371" t="s">
        <v>396</v>
      </c>
    </row>
    <row r="4" spans="2:5" ht="16.5" thickTop="1" thickBot="1">
      <c r="B4" s="372">
        <v>7</v>
      </c>
      <c r="C4" s="373" t="s">
        <v>398</v>
      </c>
      <c r="D4" s="374">
        <f>+D5+D61+D89+D76+D69</f>
        <v>43130000</v>
      </c>
    </row>
    <row r="5" spans="2:5" ht="15.75" thickTop="1">
      <c r="B5" s="375">
        <v>71</v>
      </c>
      <c r="C5" s="376" t="s">
        <v>399</v>
      </c>
      <c r="D5" s="377">
        <f>+D6+D18+D23+D30+D53</f>
        <v>23000501.120000001</v>
      </c>
    </row>
    <row r="6" spans="2:5">
      <c r="B6" s="378">
        <v>711</v>
      </c>
      <c r="C6" s="379" t="s">
        <v>2</v>
      </c>
      <c r="D6" s="380">
        <f>+D7+D8+D9+D12+D13+D14+D17+D15</f>
        <v>17619600</v>
      </c>
    </row>
    <row r="7" spans="2:5">
      <c r="B7" s="381">
        <v>7111</v>
      </c>
      <c r="C7" s="382" t="s">
        <v>3</v>
      </c>
      <c r="D7" s="394">
        <v>8529600</v>
      </c>
      <c r="E7" s="383"/>
    </row>
    <row r="8" spans="2:5">
      <c r="B8" s="381">
        <v>7112</v>
      </c>
      <c r="C8" s="382" t="s">
        <v>5</v>
      </c>
      <c r="D8" s="394">
        <v>0</v>
      </c>
    </row>
    <row r="9" spans="2:5">
      <c r="B9" s="381">
        <v>7113</v>
      </c>
      <c r="C9" s="382" t="s">
        <v>305</v>
      </c>
      <c r="D9" s="384">
        <f>+D10+D11</f>
        <v>7240000</v>
      </c>
    </row>
    <row r="10" spans="2:5">
      <c r="B10" s="385">
        <v>71131</v>
      </c>
      <c r="C10" s="386" t="s">
        <v>589</v>
      </c>
      <c r="D10" s="395">
        <v>6590000</v>
      </c>
    </row>
    <row r="11" spans="2:5">
      <c r="B11" s="385">
        <v>71132</v>
      </c>
      <c r="C11" s="386" t="s">
        <v>7</v>
      </c>
      <c r="D11" s="395">
        <v>650000</v>
      </c>
    </row>
    <row r="12" spans="2:5">
      <c r="B12" s="381">
        <v>7114</v>
      </c>
      <c r="C12" s="382" t="s">
        <v>9</v>
      </c>
      <c r="D12" s="394"/>
    </row>
    <row r="13" spans="2:5">
      <c r="B13" s="381">
        <v>7115</v>
      </c>
      <c r="C13" s="382" t="s">
        <v>306</v>
      </c>
      <c r="D13" s="394"/>
    </row>
    <row r="14" spans="2:5">
      <c r="B14" s="381">
        <v>7116</v>
      </c>
      <c r="C14" s="382" t="s">
        <v>14</v>
      </c>
      <c r="D14" s="394"/>
    </row>
    <row r="15" spans="2:5">
      <c r="B15" s="381">
        <v>7117</v>
      </c>
      <c r="C15" s="382" t="s">
        <v>11</v>
      </c>
      <c r="D15" s="384">
        <f>+D16</f>
        <v>1850000</v>
      </c>
    </row>
    <row r="16" spans="2:5">
      <c r="B16" s="385">
        <v>71175</v>
      </c>
      <c r="C16" s="386" t="s">
        <v>592</v>
      </c>
      <c r="D16" s="395">
        <v>1850000</v>
      </c>
    </row>
    <row r="17" spans="2:4">
      <c r="B17" s="381">
        <v>7118</v>
      </c>
      <c r="C17" s="382" t="s">
        <v>471</v>
      </c>
      <c r="D17" s="394"/>
    </row>
    <row r="18" spans="2:4">
      <c r="B18" s="378">
        <v>712</v>
      </c>
      <c r="C18" s="379" t="s">
        <v>19</v>
      </c>
      <c r="D18" s="380">
        <f>SUM(D19:D22)</f>
        <v>0</v>
      </c>
    </row>
    <row r="19" spans="2:4">
      <c r="B19" s="381">
        <v>7121</v>
      </c>
      <c r="C19" s="382" t="s">
        <v>21</v>
      </c>
      <c r="D19" s="394"/>
    </row>
    <row r="20" spans="2:4">
      <c r="B20" s="381">
        <v>7122</v>
      </c>
      <c r="C20" s="382" t="s">
        <v>23</v>
      </c>
      <c r="D20" s="394"/>
    </row>
    <row r="21" spans="2:4">
      <c r="B21" s="381">
        <v>7123</v>
      </c>
      <c r="C21" s="382" t="s">
        <v>25</v>
      </c>
      <c r="D21" s="394"/>
    </row>
    <row r="22" spans="2:4">
      <c r="B22" s="381">
        <v>7124</v>
      </c>
      <c r="C22" s="382" t="s">
        <v>27</v>
      </c>
      <c r="D22" s="394"/>
    </row>
    <row r="23" spans="2:4">
      <c r="B23" s="378">
        <v>713</v>
      </c>
      <c r="C23" s="379" t="s">
        <v>29</v>
      </c>
      <c r="D23" s="380">
        <f>+D24+D25+D26+D27+D28+D29</f>
        <v>227601.12</v>
      </c>
    </row>
    <row r="24" spans="2:4">
      <c r="B24" s="381">
        <v>7131</v>
      </c>
      <c r="C24" s="382" t="s">
        <v>31</v>
      </c>
      <c r="D24" s="394">
        <v>85000</v>
      </c>
    </row>
    <row r="25" spans="2:4">
      <c r="B25" s="381">
        <v>7132</v>
      </c>
      <c r="C25" s="382" t="s">
        <v>32</v>
      </c>
      <c r="D25" s="394"/>
    </row>
    <row r="26" spans="2:4">
      <c r="B26" s="381">
        <v>7133</v>
      </c>
      <c r="C26" s="382" t="s">
        <v>34</v>
      </c>
      <c r="D26" s="394"/>
    </row>
    <row r="27" spans="2:4">
      <c r="B27" s="381">
        <v>7134</v>
      </c>
      <c r="C27" s="382" t="s">
        <v>572</v>
      </c>
      <c r="D27" s="394"/>
    </row>
    <row r="28" spans="2:4">
      <c r="B28" s="381">
        <v>7135</v>
      </c>
      <c r="C28" s="382" t="s">
        <v>36</v>
      </c>
      <c r="D28" s="394">
        <v>142601.12</v>
      </c>
    </row>
    <row r="29" spans="2:4">
      <c r="B29" s="381">
        <v>7136</v>
      </c>
      <c r="C29" s="382" t="s">
        <v>37</v>
      </c>
      <c r="D29" s="394"/>
    </row>
    <row r="30" spans="2:4">
      <c r="B30" s="378">
        <v>714</v>
      </c>
      <c r="C30" s="379" t="s">
        <v>39</v>
      </c>
      <c r="D30" s="380">
        <f>+D31+D37+D44+D45+D46+D47+D48+D49+D52</f>
        <v>4330200</v>
      </c>
    </row>
    <row r="31" spans="2:4">
      <c r="B31" s="381">
        <v>7141</v>
      </c>
      <c r="C31" s="382" t="s">
        <v>40</v>
      </c>
      <c r="D31" s="384">
        <f>SUM(D32:D36)</f>
        <v>2090100</v>
      </c>
    </row>
    <row r="32" spans="2:4">
      <c r="B32" s="385">
        <v>71411</v>
      </c>
      <c r="C32" s="386" t="s">
        <v>594</v>
      </c>
      <c r="D32" s="395">
        <v>600000</v>
      </c>
    </row>
    <row r="33" spans="2:4">
      <c r="B33" s="385">
        <v>71412</v>
      </c>
      <c r="C33" s="386" t="s">
        <v>595</v>
      </c>
      <c r="D33" s="395">
        <v>100</v>
      </c>
    </row>
    <row r="34" spans="2:4">
      <c r="B34" s="385">
        <v>71413</v>
      </c>
      <c r="C34" s="386" t="s">
        <v>596</v>
      </c>
      <c r="D34" s="395">
        <v>40000</v>
      </c>
    </row>
    <row r="35" spans="2:4">
      <c r="B35" s="385">
        <v>71414</v>
      </c>
      <c r="C35" s="386" t="s">
        <v>597</v>
      </c>
      <c r="D35" s="395"/>
    </row>
    <row r="36" spans="2:4">
      <c r="B36" s="381"/>
      <c r="C36" s="386" t="s">
        <v>598</v>
      </c>
      <c r="D36" s="395">
        <v>1450000</v>
      </c>
    </row>
    <row r="37" spans="2:4">
      <c r="B37" s="381">
        <v>7142</v>
      </c>
      <c r="C37" s="382" t="s">
        <v>42</v>
      </c>
      <c r="D37" s="384">
        <f>SUM(D38:D43)</f>
        <v>600100</v>
      </c>
    </row>
    <row r="38" spans="2:4">
      <c r="B38" s="387">
        <v>71421</v>
      </c>
      <c r="C38" s="386" t="s">
        <v>599</v>
      </c>
      <c r="D38" s="395">
        <v>50000</v>
      </c>
    </row>
    <row r="39" spans="2:4">
      <c r="B39" s="385">
        <v>71422</v>
      </c>
      <c r="C39" s="386" t="s">
        <v>600</v>
      </c>
      <c r="D39" s="395"/>
    </row>
    <row r="40" spans="2:4">
      <c r="B40" s="387">
        <v>71423</v>
      </c>
      <c r="C40" s="386" t="s">
        <v>601</v>
      </c>
      <c r="D40" s="395">
        <v>550000</v>
      </c>
    </row>
    <row r="41" spans="2:4">
      <c r="B41" s="385">
        <v>71424</v>
      </c>
      <c r="C41" s="386" t="s">
        <v>602</v>
      </c>
      <c r="D41" s="395">
        <v>100</v>
      </c>
    </row>
    <row r="42" spans="2:4">
      <c r="B42" s="385">
        <v>71425</v>
      </c>
      <c r="C42" s="386" t="s">
        <v>603</v>
      </c>
      <c r="D42" s="395"/>
    </row>
    <row r="43" spans="2:4">
      <c r="B43" s="381"/>
      <c r="C43" s="386" t="s">
        <v>604</v>
      </c>
      <c r="D43" s="395"/>
    </row>
    <row r="44" spans="2:4">
      <c r="B44" s="381">
        <v>7143</v>
      </c>
      <c r="C44" s="382" t="s">
        <v>45</v>
      </c>
      <c r="D44" s="394"/>
    </row>
    <row r="45" spans="2:4">
      <c r="B45" s="381">
        <v>7144</v>
      </c>
      <c r="C45" s="382" t="s">
        <v>47</v>
      </c>
      <c r="D45" s="394"/>
    </row>
    <row r="46" spans="2:4">
      <c r="B46" s="381">
        <v>7145</v>
      </c>
      <c r="C46" s="382" t="s">
        <v>44</v>
      </c>
      <c r="D46" s="394"/>
    </row>
    <row r="47" spans="2:4">
      <c r="B47" s="381">
        <v>7146</v>
      </c>
      <c r="C47" s="382" t="s">
        <v>573</v>
      </c>
      <c r="D47" s="394">
        <v>530000</v>
      </c>
    </row>
    <row r="48" spans="2:4" ht="27">
      <c r="B48" s="381">
        <v>7147</v>
      </c>
      <c r="C48" s="382" t="s">
        <v>454</v>
      </c>
      <c r="D48" s="394"/>
    </row>
    <row r="49" spans="2:4">
      <c r="B49" s="381">
        <v>7148</v>
      </c>
      <c r="C49" s="382" t="s">
        <v>50</v>
      </c>
      <c r="D49" s="384">
        <f>+D50+D51</f>
        <v>1080000</v>
      </c>
    </row>
    <row r="50" spans="2:4">
      <c r="B50" s="385">
        <v>71484</v>
      </c>
      <c r="C50" s="386" t="s">
        <v>590</v>
      </c>
      <c r="D50" s="395">
        <v>330000</v>
      </c>
    </row>
    <row r="51" spans="2:4">
      <c r="B51" s="385">
        <v>71489</v>
      </c>
      <c r="C51" s="386" t="s">
        <v>591</v>
      </c>
      <c r="D51" s="395">
        <v>750000</v>
      </c>
    </row>
    <row r="52" spans="2:4">
      <c r="B52" s="381">
        <v>7149</v>
      </c>
      <c r="C52" s="382" t="s">
        <v>51</v>
      </c>
      <c r="D52" s="394">
        <v>30000</v>
      </c>
    </row>
    <row r="53" spans="2:4">
      <c r="B53" s="378">
        <v>715</v>
      </c>
      <c r="C53" s="379" t="s">
        <v>53</v>
      </c>
      <c r="D53" s="380">
        <f>+D54+D55+D58+D59+D60</f>
        <v>823100</v>
      </c>
    </row>
    <row r="54" spans="2:4">
      <c r="B54" s="381">
        <v>7151</v>
      </c>
      <c r="C54" s="382" t="s">
        <v>55</v>
      </c>
      <c r="D54" s="394">
        <v>100</v>
      </c>
    </row>
    <row r="55" spans="2:4">
      <c r="B55" s="381">
        <v>7152</v>
      </c>
      <c r="C55" s="382" t="s">
        <v>57</v>
      </c>
      <c r="D55" s="384">
        <f>SUM(D56:D57)</f>
        <v>208000</v>
      </c>
    </row>
    <row r="56" spans="2:4">
      <c r="B56" s="385">
        <v>71523</v>
      </c>
      <c r="C56" s="386" t="s">
        <v>605</v>
      </c>
      <c r="D56" s="395">
        <v>170000</v>
      </c>
    </row>
    <row r="57" spans="2:4">
      <c r="B57" s="385">
        <v>71525</v>
      </c>
      <c r="C57" s="386" t="s">
        <v>593</v>
      </c>
      <c r="D57" s="395">
        <v>38000</v>
      </c>
    </row>
    <row r="58" spans="2:4">
      <c r="B58" s="381">
        <v>7153</v>
      </c>
      <c r="C58" s="382" t="s">
        <v>59</v>
      </c>
      <c r="D58" s="394">
        <v>65000</v>
      </c>
    </row>
    <row r="59" spans="2:4">
      <c r="B59" s="381">
        <v>7154</v>
      </c>
      <c r="C59" s="382" t="s">
        <v>574</v>
      </c>
      <c r="D59" s="394"/>
    </row>
    <row r="60" spans="2:4">
      <c r="B60" s="381">
        <v>7155</v>
      </c>
      <c r="C60" s="382" t="s">
        <v>53</v>
      </c>
      <c r="D60" s="394">
        <v>550000</v>
      </c>
    </row>
    <row r="61" spans="2:4">
      <c r="B61" s="388">
        <v>72</v>
      </c>
      <c r="C61" s="389" t="s">
        <v>401</v>
      </c>
      <c r="D61" s="390">
        <f>+D62+D66</f>
        <v>2203500</v>
      </c>
    </row>
    <row r="62" spans="2:4">
      <c r="B62" s="378">
        <v>721</v>
      </c>
      <c r="C62" s="379" t="s">
        <v>403</v>
      </c>
      <c r="D62" s="380">
        <f>+D63+D64+D65</f>
        <v>2203500</v>
      </c>
    </row>
    <row r="63" spans="2:4">
      <c r="B63" s="391">
        <v>7211</v>
      </c>
      <c r="C63" s="382" t="s">
        <v>404</v>
      </c>
      <c r="D63" s="394">
        <v>2200000</v>
      </c>
    </row>
    <row r="64" spans="2:4">
      <c r="B64" s="391">
        <v>7212</v>
      </c>
      <c r="C64" s="382" t="s">
        <v>587</v>
      </c>
      <c r="D64" s="394">
        <v>3500</v>
      </c>
    </row>
    <row r="65" spans="2:4">
      <c r="B65" s="391">
        <v>7213</v>
      </c>
      <c r="C65" s="382" t="s">
        <v>405</v>
      </c>
      <c r="D65" s="394"/>
    </row>
    <row r="66" spans="2:4">
      <c r="B66" s="378">
        <v>722</v>
      </c>
      <c r="C66" s="379" t="s">
        <v>406</v>
      </c>
      <c r="D66" s="380">
        <f>+D67+D68</f>
        <v>0</v>
      </c>
    </row>
    <row r="67" spans="2:4">
      <c r="B67" s="381">
        <v>7221</v>
      </c>
      <c r="C67" s="382" t="s">
        <v>407</v>
      </c>
      <c r="D67" s="394"/>
    </row>
    <row r="68" spans="2:4">
      <c r="B68" s="381">
        <v>7222</v>
      </c>
      <c r="C68" s="382" t="s">
        <v>408</v>
      </c>
      <c r="D68" s="394"/>
    </row>
    <row r="69" spans="2:4">
      <c r="B69" s="388">
        <v>73</v>
      </c>
      <c r="C69" s="389" t="s">
        <v>472</v>
      </c>
      <c r="D69" s="390">
        <f>+D70+D75</f>
        <v>9875998.8800000008</v>
      </c>
    </row>
    <row r="70" spans="2:4">
      <c r="B70" s="378">
        <v>731</v>
      </c>
      <c r="C70" s="379" t="s">
        <v>409</v>
      </c>
      <c r="D70" s="380">
        <f>+D71+D72+D73+D74</f>
        <v>10000</v>
      </c>
    </row>
    <row r="71" spans="2:4">
      <c r="B71" s="381">
        <v>7311</v>
      </c>
      <c r="C71" s="382" t="s">
        <v>410</v>
      </c>
      <c r="D71" s="394"/>
    </row>
    <row r="72" spans="2:4">
      <c r="B72" s="381">
        <v>7312</v>
      </c>
      <c r="C72" s="382" t="s">
        <v>411</v>
      </c>
      <c r="D72" s="394"/>
    </row>
    <row r="73" spans="2:4">
      <c r="B73" s="381">
        <v>7313</v>
      </c>
      <c r="C73" s="382" t="s">
        <v>412</v>
      </c>
      <c r="D73" s="394">
        <v>10000</v>
      </c>
    </row>
    <row r="74" spans="2:4">
      <c r="B74" s="381">
        <v>7314</v>
      </c>
      <c r="C74" s="382" t="s">
        <v>413</v>
      </c>
      <c r="D74" s="394"/>
    </row>
    <row r="75" spans="2:4">
      <c r="B75" s="378">
        <v>732</v>
      </c>
      <c r="C75" s="379" t="s">
        <v>414</v>
      </c>
      <c r="D75" s="396">
        <v>9865998.8800000008</v>
      </c>
    </row>
    <row r="76" spans="2:4">
      <c r="B76" s="388">
        <v>74</v>
      </c>
      <c r="C76" s="389" t="s">
        <v>416</v>
      </c>
      <c r="D76" s="390">
        <f>+D77+D81</f>
        <v>8050000</v>
      </c>
    </row>
    <row r="77" spans="2:4">
      <c r="B77" s="378">
        <v>741</v>
      </c>
      <c r="C77" s="379" t="s">
        <v>123</v>
      </c>
      <c r="D77" s="380">
        <f>+D78+D79+D80</f>
        <v>270000</v>
      </c>
    </row>
    <row r="78" spans="2:4">
      <c r="B78" s="381">
        <v>7411</v>
      </c>
      <c r="C78" s="382" t="s">
        <v>417</v>
      </c>
      <c r="D78" s="394">
        <v>70000</v>
      </c>
    </row>
    <row r="79" spans="2:4">
      <c r="B79" s="381">
        <v>7412</v>
      </c>
      <c r="C79" s="382" t="s">
        <v>575</v>
      </c>
      <c r="D79" s="394">
        <v>50000</v>
      </c>
    </row>
    <row r="80" spans="2:4">
      <c r="B80" s="381">
        <v>7413</v>
      </c>
      <c r="C80" s="382" t="s">
        <v>588</v>
      </c>
      <c r="D80" s="394">
        <v>150000</v>
      </c>
    </row>
    <row r="81" spans="2:4">
      <c r="B81" s="378">
        <v>742</v>
      </c>
      <c r="C81" s="379" t="s">
        <v>576</v>
      </c>
      <c r="D81" s="380">
        <f>SUM(D82:D88)</f>
        <v>7780000</v>
      </c>
    </row>
    <row r="82" spans="2:4">
      <c r="B82" s="381">
        <v>7421</v>
      </c>
      <c r="C82" s="382" t="s">
        <v>577</v>
      </c>
      <c r="D82" s="394">
        <v>580000</v>
      </c>
    </row>
    <row r="83" spans="2:4">
      <c r="B83" s="381">
        <v>7422</v>
      </c>
      <c r="C83" s="382" t="s">
        <v>578</v>
      </c>
      <c r="D83" s="394"/>
    </row>
    <row r="84" spans="2:4">
      <c r="B84" s="381">
        <v>7423</v>
      </c>
      <c r="C84" s="382" t="s">
        <v>579</v>
      </c>
      <c r="D84" s="394"/>
    </row>
    <row r="85" spans="2:4">
      <c r="B85" s="381">
        <v>7424</v>
      </c>
      <c r="C85" s="382" t="s">
        <v>580</v>
      </c>
      <c r="D85" s="394"/>
    </row>
    <row r="86" spans="2:4">
      <c r="B86" s="381">
        <v>7425</v>
      </c>
      <c r="C86" s="382" t="s">
        <v>581</v>
      </c>
      <c r="D86" s="394"/>
    </row>
    <row r="87" spans="2:4">
      <c r="B87" s="381">
        <v>7426</v>
      </c>
      <c r="C87" s="382" t="s">
        <v>623</v>
      </c>
      <c r="D87" s="394">
        <v>7200000</v>
      </c>
    </row>
    <row r="88" spans="2:4">
      <c r="B88" s="381">
        <v>7427</v>
      </c>
      <c r="C88" s="382" t="s">
        <v>620</v>
      </c>
      <c r="D88" s="394"/>
    </row>
    <row r="89" spans="2:4">
      <c r="B89" s="388">
        <v>75</v>
      </c>
      <c r="C89" s="389" t="s">
        <v>111</v>
      </c>
      <c r="D89" s="390">
        <f>+D90</f>
        <v>0</v>
      </c>
    </row>
    <row r="90" spans="2:4">
      <c r="B90" s="378">
        <v>751</v>
      </c>
      <c r="C90" s="379" t="s">
        <v>111</v>
      </c>
      <c r="D90" s="380">
        <f>+D91+D92</f>
        <v>0</v>
      </c>
    </row>
    <row r="91" spans="2:4">
      <c r="B91" s="391">
        <v>7511</v>
      </c>
      <c r="C91" s="382" t="s">
        <v>144</v>
      </c>
      <c r="D91" s="394"/>
    </row>
    <row r="92" spans="2:4" ht="15.75" thickBot="1">
      <c r="B92" s="392">
        <v>7512</v>
      </c>
      <c r="C92" s="393" t="s">
        <v>122</v>
      </c>
      <c r="D92" s="397"/>
    </row>
    <row r="93" spans="2:4" ht="15.75" thickTop="1"/>
  </sheetData>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12</vt:i4>
      </vt:variant>
    </vt:vector>
  </HeadingPairs>
  <TitlesOfParts>
    <vt:vector size="12" baseType="lpstr">
      <vt:lpstr>Cental Budget - hwy</vt:lpstr>
      <vt:lpstr>Public Expenditure -hwy</vt:lpstr>
      <vt:lpstr>PRIMICI</vt:lpstr>
      <vt:lpstr>DEFICIT Tabela</vt:lpstr>
      <vt:lpstr>MasterSheet</vt:lpstr>
      <vt:lpstr>Sheet1</vt:lpstr>
      <vt:lpstr>Sheet2</vt:lpstr>
      <vt:lpstr>Sheet3</vt:lpstr>
      <vt:lpstr>PRIHODI ekon klas</vt:lpstr>
      <vt:lpstr>RASHODI ekon klas</vt:lpstr>
      <vt:lpstr>Clan 14 ZBFO</vt:lpstr>
      <vt:lpstr>Clan 27 ZFLO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Ranka Grozdanić</cp:lastModifiedBy>
  <cp:lastPrinted>2025-10-28T06:48:15Z</cp:lastPrinted>
  <dcterms:created xsi:type="dcterms:W3CDTF">2008-03-17T08:49:23Z</dcterms:created>
  <dcterms:modified xsi:type="dcterms:W3CDTF">2025-10-28T07:11:42Z</dcterms:modified>
</cp:coreProperties>
</file>